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8d65978d0584bf8" /></Relationships>
</file>

<file path=xl/workbook.xml><?xml version="1.0" encoding="utf-8"?>
<x:workbook xmlns:x="http://schemas.openxmlformats.org/spreadsheetml/2006/main">
  <x:sheets>
    <x:sheet xmlns:r="http://schemas.openxmlformats.org/officeDocument/2006/relationships" name="ČTI MĚ" sheetId="1" r:id="Rb6c8a52d52814098"/>
    <x:sheet xmlns:r="http://schemas.openxmlformats.org/officeDocument/2006/relationships" name="Předpoklady" sheetId="2" r:id="Rc5ceab7a1b9746ba"/>
    <x:sheet xmlns:r="http://schemas.openxmlformats.org/officeDocument/2006/relationships" name="Demografie a RUD" sheetId="3" r:id="Rddd723946f7d4734"/>
    <x:sheet xmlns:r="http://schemas.openxmlformats.org/officeDocument/2006/relationships" name="Best case" sheetId="4" r:id="R4979fd56253644da"/>
    <x:sheet xmlns:r="http://schemas.openxmlformats.org/officeDocument/2006/relationships" name="Normal case" sheetId="5" r:id="Rb36d1baf56f842d5"/>
    <x:sheet xmlns:r="http://schemas.openxmlformats.org/officeDocument/2006/relationships" name="Worst case" sheetId="6" r:id="Reb113c2372454032"/>
    <x:sheet xmlns:r="http://schemas.openxmlformats.org/officeDocument/2006/relationships" name="Kapacita obce" sheetId="7" r:id="Rd21bdd3ff4bb48a0"/>
    <x:sheet xmlns:r="http://schemas.openxmlformats.org/officeDocument/2006/relationships" name="Souhrn" sheetId="8" r:id="R3e2aaf73e8444ba2"/>
    <x:sheet xmlns:r="http://schemas.openxmlformats.org/officeDocument/2006/relationships" name="Otázky pro ZO" sheetId="9" r:id="Rb8b206ca74184553"/>
    <x:sheet xmlns:r="http://schemas.openxmlformats.org/officeDocument/2006/relationships" name="Zdroje" sheetId="10" r:id="R11e7f30dc6054028"/>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0.0%"/>
    <x:numFmt numFmtId="202" formatCode="#,##0;[Red](#,##0);-"/>
    <x:numFmt numFmtId="203" formatCode="0.0"/>
  </x:numFmts>
  <x:fonts count="11">
    <x:font>
      <x:sz val="11"/>
      <x:name val="Carlito"/>
    </x:font>
    <x:font>
      <x:b/>
      <x:sz val="16"/>
      <x:color rgb="FFFFFFFF"/>
      <x:name val="Carlito"/>
    </x:font>
    <x:font>
      <x:b/>
      <x:sz val="11"/>
      <x:color rgb="FF0D1F3D"/>
      <x:name val="Carlito"/>
    </x:font>
    <x:font>
      <x:b/>
      <x:sz val="11"/>
      <x:color rgb="FF991B1B"/>
      <x:name val="Carlito"/>
    </x:font>
    <x:font>
      <x:b/>
      <x:sz val="15"/>
      <x:color rgb="FFFFFFFF"/>
      <x:name val="Carlito"/>
    </x:font>
    <x:font>
      <x:b/>
      <x:sz val="11"/>
      <x:color rgb="FFFFFFFF"/>
      <x:name val="Carlito"/>
    </x:font>
    <x:font>
      <x:sz val="11"/>
      <x:color rgb="FF0000FF"/>
      <x:name val="Carlito"/>
    </x:font>
    <x:font>
      <x:sz val="11"/>
      <x:color rgb="FF000000"/>
      <x:name val="Carlito"/>
    </x:font>
    <x:font>
      <x:sz val="9"/>
      <x:color rgb="FF374151"/>
      <x:name val="Carlito"/>
    </x:font>
    <x:font>
      <x:b/>
      <x:sz val="11"/>
      <x:name val="Carlito"/>
    </x:font>
    <x:font>
      <x:sz val="11"/>
      <x:color rgb="FF374151"/>
      <x:name val="Carlito"/>
    </x:font>
  </x:fonts>
  <x:fills count="13">
    <x:fill>
      <x:patternFill patternType="none"/>
    </x:fill>
    <x:fill>
      <x:patternFill patternType="gray125"/>
    </x:fill>
    <x:fill>
      <x:patternFill patternType="solid">
        <x:fgColor rgb="FF0D1F3D"/>
      </x:patternFill>
    </x:fill>
    <x:fill>
      <x:patternFill patternType="solid">
        <x:fgColor rgb="FFEAF0F8"/>
      </x:patternFill>
    </x:fill>
    <x:fill>
      <x:patternFill patternType="solid">
        <x:fgColor rgb="FFFDE7E7"/>
      </x:patternFill>
    </x:fill>
    <x:fill>
      <x:patternFill patternType="solid">
        <x:fgColor rgb="FFEDE9FE"/>
      </x:patternFill>
    </x:fill>
    <x:fill>
      <x:patternFill patternType="solid">
        <x:fgColor rgb="FFEAF4E5"/>
      </x:patternFill>
    </x:fill>
    <x:fill>
      <x:patternFill patternType="solid">
        <x:fgColor rgb="FFFFF4D6"/>
      </x:patternFill>
    </x:fill>
    <x:fill>
      <x:patternFill patternType="solid">
        <x:fgColor rgb="FFF3F4F6"/>
      </x:patternFill>
    </x:fill>
    <x:fill>
      <x:patternFill patternType="solid">
        <x:fgColor rgb="FF374151"/>
      </x:patternFill>
    </x:fill>
    <x:fill>
      <x:patternFill patternType="solid">
        <x:fgColor rgb="FFF9FAFB"/>
      </x:patternFill>
    </x:fill>
    <x:fill>
      <x:patternFill patternType="solid">
        <x:fgColor rgb="FFE5E7EB"/>
      </x:patternFill>
    </x:fill>
    <x:fill>
      <x:patternFill patternType="solid">
        <x:fgColor rgb="FFFFFFFF"/>
      </x:patternFill>
    </x:fill>
  </x:fills>
  <x:borders count="6">
    <x:border/>
    <x:border/>
    <x:border>
      <x:bottom style="hair">
        <x:color rgb="FFD1D5DB"/>
      </x:bottom>
    </x:border>
    <x:border>
      <x:bottom style="hair">
        <x:color rgb="FFD1D5DB"/>
      </x:bottom>
    </x:border>
    <x:border>
      <x:bottom style="hair">
        <x:color rgb="FFE5E7EB"/>
      </x:bottom>
    </x:border>
    <x:border>
      <x:bottom style="hair">
        <x:color rgb="FFE5E7EB"/>
      </x:bottom>
    </x:border>
  </x:borders>
  <x:cellStyleXfs count="1">
    <x:xf numFmtId="0" fontId="0" fillId="0" borderId="0"/>
  </x:cellStyleXfs>
  <x:cellXfs count="26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1"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4" fillId="2" borderId="0" xfId="0" applyNumberFormat="1" applyFont="1" applyFill="1" applyBorder="1"/>
    <x:xf numFmtId="0" fontId="4" fillId="2" borderId="1"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1" xfId="0" applyNumberFormat="1" applyFont="1" applyFill="1" applyBorder="1"/>
    <x:xf numFmtId="0" fontId="5" fillId="2" borderId="1"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6" fillId="0" borderId="0" xfId="0" applyNumberFormat="1" applyFont="1" applyFill="1" applyBorder="1"/>
    <x:xf numFmtId="0" fontId="6" fillId="0" borderId="1" xfId="0" applyNumberFormat="1" applyFont="1" applyFill="1" applyBorder="1"/>
    <x:xf numFmtId="0" fontId="7" fillId="0" borderId="0" xfId="0" applyNumberFormat="1" applyFont="1" applyFill="1" applyBorder="1"/>
    <x:xf numFmtId="0" fontId="7" fillId="0" borderId="1" xfId="0" applyNumberFormat="1" applyFont="1" applyFill="1" applyBorder="1"/>
    <x:xf numFmtId="0" fontId="8" fillId="0" borderId="0" xfId="0" applyNumberFormat="1" applyFont="1" applyFill="1" applyBorder="1"/>
    <x:xf numFmtId="0" fontId="8" fillId="0" borderId="0" xfId="0" applyNumberFormat="1" applyFont="1" applyFill="1" applyBorder="1" applyAlignment="1">
      <x:alignment wrapText="1"/>
    </x:xf>
    <x:xf numFmtId="0" fontId="8" fillId="0" borderId="1" xfId="0" applyNumberFormat="1" applyFont="1" applyFill="1" applyBorder="1"/>
    <x:xf numFmtId="0" fontId="8" fillId="0" borderId="1" xfId="0" applyNumberFormat="1" applyFont="1" applyFill="1" applyBorder="1" applyAlignment="1">
      <x:alignment wrapText="1"/>
    </x:xf>
    <x:xf numFmtId="0" fontId="6" fillId="0" borderId="0" xfId="0" applyNumberFormat="1" applyFont="1" applyFill="1" applyBorder="1" applyAlignment="1">
      <x:alignment horizontal="right"/>
    </x:xf>
    <x:xf numFmtId="0" fontId="7" fillId="0" borderId="0" xfId="0" applyNumberFormat="1" applyFont="1" applyFill="1" applyBorder="1" applyAlignment="1">
      <x:alignment horizontal="right"/>
    </x:xf>
    <x:xf numFmtId="0" fontId="6" fillId="0" borderId="1" xfId="0" applyNumberFormat="1" applyFont="1" applyFill="1" applyBorder="1" applyAlignment="1">
      <x:alignment horizontal="right"/>
    </x:xf>
    <x:xf numFmtId="0" fontId="7" fillId="0" borderId="1" xfId="0" applyNumberFormat="1" applyFont="1" applyFill="1" applyBorder="1" applyAlignment="1">
      <x:alignment horizontal="right"/>
    </x:xf>
    <x:xf numFmtId="200" fontId="6" fillId="0" borderId="0" xfId="0" applyNumberFormat="1" applyFont="1" applyFill="1" applyBorder="1" applyAlignment="1">
      <x:alignment horizontal="right"/>
    </x:xf>
    <x:xf numFmtId="200" fontId="6" fillId="0" borderId="1" xfId="0" applyNumberFormat="1" applyFont="1" applyFill="1" applyBorder="1" applyAlignment="1">
      <x:alignment horizontal="right"/>
    </x:xf>
    <x:xf numFmtId="200" fontId="7" fillId="0" borderId="0" xfId="0" applyNumberFormat="1" applyFont="1" applyFill="1" applyBorder="1" applyAlignment="1">
      <x:alignment horizontal="right"/>
    </x:xf>
    <x:xf numFmtId="200" fontId="7" fillId="0" borderId="1" xfId="0" applyNumberFormat="1" applyFont="1" applyFill="1" applyBorder="1" applyAlignment="1">
      <x:alignment horizontal="right"/>
    </x:xf>
    <x:xf numFmtId="201" fontId="6" fillId="0" borderId="0" xfId="0" applyNumberFormat="1" applyFont="1" applyFill="1" applyBorder="1" applyAlignment="1">
      <x:alignment horizontal="right"/>
    </x:xf>
    <x:xf numFmtId="201" fontId="6" fillId="0" borderId="1" xfId="0" applyNumberFormat="1" applyFont="1" applyFill="1" applyBorder="1" applyAlignment="1">
      <x:alignment horizontal="right"/>
    </x:xf>
    <x:xf numFmtId="202" fontId="6" fillId="0" borderId="0" xfId="0" applyNumberFormat="1" applyFont="1" applyFill="1" applyBorder="1" applyAlignment="1">
      <x:alignment horizontal="right"/>
    </x:xf>
    <x:xf numFmtId="202" fontId="6" fillId="0" borderId="1" xfId="0" applyNumberFormat="1" applyFont="1" applyFill="1" applyBorder="1" applyAlignment="1">
      <x:alignment horizontal="right"/>
    </x:xf>
    <x:xf numFmtId="0" fontId="0"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xf numFmtId="0" fontId="0" fillId="6" borderId="0" xfId="0" applyNumberFormat="1" applyFont="1" applyFill="1" applyBorder="1" applyAlignment="1">
      <x:alignment wrapText="1"/>
    </x:xf>
    <x:xf numFmtId="0" fontId="0" fillId="6" borderId="1" xfId="0" applyNumberFormat="1" applyFont="1" applyFill="1" applyBorder="1" applyAlignment="1">
      <x:alignment wrapText="1"/>
    </x:xf>
    <x:xf numFmtId="0" fontId="0" fillId="7" borderId="0" xfId="0" applyNumberFormat="1" applyFont="1" applyFill="1" applyBorder="1" applyAlignment="1">
      <x:alignment wrapText="1"/>
    </x:xf>
    <x:xf numFmtId="0" fontId="0" fillId="7" borderId="1" xfId="0" applyNumberFormat="1" applyFont="1" applyFill="1" applyBorder="1" applyAlignment="1">
      <x:alignment wrapText="1"/>
    </x:xf>
    <x:xf numFmtId="0" fontId="0" fillId="8" borderId="0" xfId="0" applyNumberFormat="1" applyFont="1" applyFill="1" applyBorder="1" applyAlignment="1">
      <x:alignment wrapText="1"/>
    </x:xf>
    <x:xf numFmtId="0" fontId="0" fillId="8" borderId="1" xfId="0" applyNumberFormat="1" applyFont="1" applyFill="1" applyBorder="1" applyAlignment="1">
      <x:alignment wrapText="1"/>
    </x:xf>
    <x:xf numFmtId="0" fontId="0" fillId="8" borderId="2" xfId="0" applyNumberFormat="1" applyFont="1" applyFill="1" applyBorder="1" applyAlignment="1">
      <x:alignment wrapText="1"/>
    </x:xf>
    <x:xf numFmtId="200" fontId="6" fillId="0" borderId="2" xfId="0" applyNumberFormat="1" applyFont="1" applyFill="1" applyBorder="1" applyAlignment="1">
      <x:alignment horizontal="right"/>
    </x:xf>
    <x:xf numFmtId="0" fontId="8" fillId="0" borderId="2" xfId="0" applyNumberFormat="1" applyFont="1" applyFill="1" applyBorder="1" applyAlignment="1">
      <x:alignment wrapText="1"/>
    </x:xf>
    <x:xf numFmtId="0" fontId="0" fillId="8" borderId="3" xfId="0" applyNumberFormat="1" applyFont="1" applyFill="1" applyBorder="1" applyAlignment="1">
      <x:alignment wrapText="1"/>
    </x:xf>
    <x:xf numFmtId="200" fontId="6" fillId="0" borderId="3" xfId="0" applyNumberFormat="1" applyFont="1" applyFill="1" applyBorder="1" applyAlignment="1">
      <x:alignment horizontal="right"/>
    </x:xf>
    <x:xf numFmtId="0" fontId="8" fillId="0" borderId="3" xfId="0" applyNumberFormat="1" applyFont="1" applyFill="1" applyBorder="1" applyAlignment="1">
      <x:alignment wrapText="1"/>
    </x:xf>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0" fillId="0" borderId="0" xfId="0" applyNumberFormat="1" applyFont="1" applyFill="1" applyBorder="1"/>
    <x:xf numFmtId="0" fontId="0" fillId="0" borderId="4" xfId="0" applyNumberFormat="1" applyFont="1" applyFill="1" applyBorder="1"/>
    <x:xf numFmtId="201" fontId="0" fillId="0" borderId="4" xfId="0" applyNumberFormat="1" applyFont="1" applyFill="1" applyBorder="1"/>
    <x:xf numFmtId="203" fontId="0" fillId="0" borderId="4" xfId="0" applyNumberFormat="1" applyFont="1" applyFill="1" applyBorder="1"/>
    <x:xf numFmtId="200" fontId="0" fillId="0" borderId="4" xfId="0" applyNumberFormat="1" applyFont="1" applyFill="1" applyBorder="1"/>
    <x:xf numFmtId="0" fontId="0" fillId="0" borderId="5" xfId="0" applyNumberFormat="1" applyFont="1" applyFill="1" applyBorder="1"/>
    <x:xf numFmtId="201" fontId="0" fillId="0" borderId="5" xfId="0" applyNumberFormat="1" applyFont="1" applyFill="1" applyBorder="1"/>
    <x:xf numFmtId="203" fontId="0" fillId="0" borderId="5" xfId="0" applyNumberFormat="1" applyFont="1" applyFill="1" applyBorder="1"/>
    <x:xf numFmtId="200" fontId="0" fillId="0" borderId="5" xfId="0" applyNumberFormat="1" applyFont="1" applyFill="1" applyBorder="1"/>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8" fillId="3" borderId="0" xfId="0" applyNumberFormat="1" applyFont="1" applyFill="1" applyBorder="1"/>
    <x:xf numFmtId="0" fontId="8" fillId="3" borderId="0" xfId="0" applyNumberFormat="1" applyFont="1" applyFill="1" applyBorder="1" applyAlignment="1">
      <x:alignment wrapText="1"/>
    </x:xf>
    <x:xf numFmtId="0" fontId="8" fillId="3" borderId="1" xfId="0" applyNumberFormat="1" applyFont="1" applyFill="1" applyBorder="1"/>
    <x:xf numFmtId="0" fontId="8" fillId="3" borderId="1" xfId="0" applyNumberFormat="1" applyFont="1" applyFill="1" applyBorder="1" applyAlignment="1">
      <x:alignment wrapText="1"/>
    </x:xf>
    <x:xf numFmtId="0" fontId="0" fillId="7" borderId="0" xfId="0" applyNumberFormat="1" applyFont="1" applyFill="1" applyBorder="1"/>
    <x:xf numFmtId="0" fontId="8" fillId="7" borderId="0" xfId="0" applyNumberFormat="1" applyFont="1" applyFill="1" applyBorder="1"/>
    <x:xf numFmtId="0" fontId="8" fillId="7" borderId="0" xfId="0" applyNumberFormat="1" applyFont="1" applyFill="1" applyBorder="1" applyAlignment="1">
      <x:alignment wrapText="1"/>
    </x:xf>
    <x:xf numFmtId="0" fontId="0" fillId="7" borderId="1" xfId="0" applyNumberFormat="1" applyFont="1" applyFill="1" applyBorder="1"/>
    <x:xf numFmtId="0" fontId="8" fillId="7" borderId="1" xfId="0" applyNumberFormat="1" applyFont="1" applyFill="1" applyBorder="1"/>
    <x:xf numFmtId="0" fontId="8" fillId="7" borderId="1" xfId="0" applyNumberFormat="1" applyFont="1" applyFill="1" applyBorder="1" applyAlignment="1">
      <x:alignment wrapText="1"/>
    </x:xf>
    <x:xf numFmtId="0" fontId="5" fillId="2" borderId="0" xfId="0" applyNumberFormat="1" applyFont="1" applyFill="1" applyBorder="1" applyAlignment="1">
      <x:alignment horizontal="right"/>
    </x:xf>
    <x:xf numFmtId="0" fontId="5" fillId="2" borderId="1" xfId="0" applyNumberFormat="1" applyFont="1" applyFill="1" applyBorder="1" applyAlignment="1">
      <x:alignment horizontal="right"/>
    </x:xf>
    <x:xf numFmtId="0" fontId="5" fillId="2" borderId="0" xfId="0" applyNumberFormat="1" applyFont="1" applyFill="1" applyBorder="1" applyAlignment="1">
      <x:alignment horizontal="left"/>
    </x:xf>
    <x:xf numFmtId="0" fontId="5" fillId="2" borderId="1" xfId="0" applyNumberFormat="1" applyFont="1" applyFill="1" applyBorder="1" applyAlignment="1">
      <x:alignment horizontal="left"/>
    </x:xf>
    <x:xf numFmtId="0" fontId="0" fillId="9" borderId="0" xfId="0" applyNumberFormat="1" applyFont="1" applyFill="1" applyBorder="1"/>
    <x:xf numFmtId="0" fontId="5" fillId="9" borderId="0" xfId="0" applyNumberFormat="1" applyFont="1" applyFill="1" applyBorder="1"/>
    <x:xf numFmtId="0" fontId="0" fillId="9" borderId="1" xfId="0" applyNumberFormat="1" applyFont="1" applyFill="1" applyBorder="1"/>
    <x:xf numFmtId="0" fontId="5" fillId="9" borderId="1" xfId="0" applyNumberFormat="1" applyFont="1" applyFill="1" applyBorder="1"/>
    <x:xf numFmtId="0" fontId="0" fillId="6" borderId="0" xfId="0" applyNumberFormat="1" applyFont="1" applyFill="1" applyBorder="1"/>
    <x:xf numFmtId="0" fontId="2" fillId="6" borderId="0" xfId="0" applyNumberFormat="1" applyFont="1" applyFill="1" applyBorder="1"/>
    <x:xf numFmtId="0" fontId="0" fillId="6" borderId="1" xfId="0" applyNumberFormat="1" applyFont="1" applyFill="1" applyBorder="1"/>
    <x:xf numFmtId="0" fontId="2" fillId="6" borderId="1" xfId="0" applyNumberFormat="1" applyFont="1" applyFill="1" applyBorder="1"/>
    <x:xf numFmtId="0" fontId="0" fillId="10" borderId="0" xfId="0" applyNumberFormat="1" applyFont="1" applyFill="1" applyBorder="1"/>
    <x:xf numFmtId="0" fontId="8" fillId="10" borderId="0" xfId="0" applyNumberFormat="1" applyFont="1" applyFill="1" applyBorder="1"/>
    <x:xf numFmtId="0" fontId="8" fillId="10" borderId="0" xfId="0" applyNumberFormat="1" applyFont="1" applyFill="1" applyBorder="1" applyAlignment="1">
      <x:alignment wrapText="1"/>
    </x:xf>
    <x:xf numFmtId="0" fontId="8" fillId="10" borderId="0" xfId="0" applyNumberFormat="1" applyFont="1" applyFill="1" applyBorder="1" applyAlignment="1">
      <x:alignment vertical="top" wrapText="1"/>
    </x:xf>
    <x:xf numFmtId="0" fontId="0" fillId="10" borderId="1" xfId="0" applyNumberFormat="1" applyFont="1" applyFill="1" applyBorder="1"/>
    <x:xf numFmtId="0" fontId="8" fillId="10" borderId="1" xfId="0" applyNumberFormat="1" applyFont="1" applyFill="1" applyBorder="1"/>
    <x:xf numFmtId="0" fontId="8" fillId="10" borderId="1" xfId="0" applyNumberFormat="1" applyFont="1" applyFill="1" applyBorder="1" applyAlignment="1">
      <x:alignment wrapText="1"/>
    </x:xf>
    <x:xf numFmtId="0" fontId="8" fillId="10" borderId="1" xfId="0" applyNumberFormat="1" applyFont="1" applyFill="1" applyBorder="1" applyAlignment="1">
      <x:alignment vertical="top" wrapText="1"/>
    </x:xf>
    <x:xf numFmtId="200" fontId="5" fillId="9" borderId="0" xfId="0" applyNumberFormat="1" applyFont="1" applyFill="1" applyBorder="1"/>
    <x:xf numFmtId="200" fontId="2" fillId="6" borderId="0" xfId="0" applyNumberFormat="1" applyFont="1" applyFill="1" applyBorder="1"/>
    <x:xf numFmtId="200" fontId="8" fillId="10" borderId="0" xfId="0" applyNumberFormat="1" applyFont="1" applyFill="1" applyBorder="1" applyAlignment="1">
      <x:alignment vertical="top" wrapText="1"/>
    </x:xf>
    <x:xf numFmtId="200" fontId="5" fillId="9" borderId="1" xfId="0" applyNumberFormat="1" applyFont="1" applyFill="1" applyBorder="1"/>
    <x:xf numFmtId="200" fontId="2" fillId="6" borderId="1" xfId="0" applyNumberFormat="1" applyFont="1" applyFill="1" applyBorder="1"/>
    <x:xf numFmtId="200" fontId="8" fillId="10" borderId="1" xfId="0" applyNumberFormat="1" applyFont="1" applyFill="1" applyBorder="1" applyAlignment="1">
      <x:alignment vertical="top" wrapText="1"/>
    </x:xf>
    <x:xf numFmtId="0" fontId="5" fillId="2" borderId="0" xfId="0" applyNumberFormat="1" applyFont="1" applyFill="1" applyBorder="1" applyAlignment="1">
      <x:alignment horizontal="left" wrapText="1"/>
    </x:xf>
    <x:xf numFmtId="0" fontId="5" fillId="2" borderId="0" xfId="0" applyNumberFormat="1" applyFont="1" applyFill="1" applyBorder="1" applyAlignment="1">
      <x:alignment horizontal="right" wrapText="1"/>
    </x:xf>
    <x:xf numFmtId="0" fontId="5" fillId="9" borderId="0" xfId="0" applyNumberFormat="1" applyFont="1" applyFill="1" applyBorder="1" applyAlignment="1">
      <x:alignment wrapText="1"/>
    </x:xf>
    <x:xf numFmtId="200" fontId="0" fillId="0" borderId="0" xfId="0" applyNumberFormat="1" applyFont="1" applyFill="1" applyBorder="1" applyAlignment="1">
      <x:alignment wrapText="1"/>
    </x:xf>
    <x:xf numFmtId="200" fontId="5" fillId="9" borderId="0" xfId="0" applyNumberFormat="1" applyFont="1" applyFill="1" applyBorder="1" applyAlignment="1">
      <x:alignment wrapText="1"/>
    </x:xf>
    <x:xf numFmtId="203" fontId="0" fillId="0" borderId="0" xfId="0" applyNumberFormat="1" applyFont="1" applyFill="1" applyBorder="1" applyAlignment="1">
      <x:alignment wrapText="1"/>
    </x:xf>
    <x:xf numFmtId="0" fontId="2" fillId="6" borderId="0" xfId="0" applyNumberFormat="1" applyFont="1" applyFill="1" applyBorder="1" applyAlignment="1">
      <x:alignment wrapText="1"/>
    </x:xf>
    <x:xf numFmtId="200" fontId="2" fillId="6" borderId="0" xfId="0" applyNumberFormat="1" applyFont="1" applyFill="1" applyBorder="1" applyAlignment="1">
      <x:alignment wrapText="1"/>
    </x:xf>
    <x:xf numFmtId="0" fontId="5" fillId="2" borderId="1" xfId="0" applyNumberFormat="1" applyFont="1" applyFill="1" applyBorder="1" applyAlignment="1">
      <x:alignment horizontal="left" wrapText="1"/>
    </x:xf>
    <x:xf numFmtId="0" fontId="5" fillId="2" borderId="1" xfId="0" applyNumberFormat="1" applyFont="1" applyFill="1" applyBorder="1" applyAlignment="1">
      <x:alignment horizontal="right" wrapText="1"/>
    </x:xf>
    <x:xf numFmtId="0" fontId="5" fillId="9" borderId="1" xfId="0" applyNumberFormat="1" applyFont="1" applyFill="1" applyBorder="1" applyAlignment="1">
      <x:alignment wrapText="1"/>
    </x:xf>
    <x:xf numFmtId="200" fontId="0" fillId="0" borderId="1" xfId="0" applyNumberFormat="1" applyFont="1" applyFill="1" applyBorder="1" applyAlignment="1">
      <x:alignment wrapText="1"/>
    </x:xf>
    <x:xf numFmtId="200" fontId="5" fillId="9" borderId="1" xfId="0" applyNumberFormat="1" applyFont="1" applyFill="1" applyBorder="1" applyAlignment="1">
      <x:alignment wrapText="1"/>
    </x:xf>
    <x:xf numFmtId="203" fontId="0" fillId="0" borderId="1" xfId="0" applyNumberFormat="1" applyFont="1" applyFill="1" applyBorder="1" applyAlignment="1">
      <x:alignment wrapText="1"/>
    </x:xf>
    <x:xf numFmtId="0" fontId="2" fillId="6" borderId="1" xfId="0" applyNumberFormat="1" applyFont="1" applyFill="1" applyBorder="1" applyAlignment="1">
      <x:alignment wrapText="1"/>
    </x:xf>
    <x:xf numFmtId="200" fontId="2" fillId="6" borderId="1" xfId="0" applyNumberFormat="1" applyFont="1" applyFill="1" applyBorder="1" applyAlignment="1">
      <x:alignment wrapText="1"/>
    </x:xf>
    <x:xf numFmtId="0" fontId="9" fillId="0" borderId="0" xfId="0" applyNumberFormat="1" applyFont="1" applyFill="1" applyBorder="1" applyAlignment="1">
      <x:alignment wrapText="1"/>
    </x:xf>
    <x:xf numFmtId="200" fontId="9" fillId="0" borderId="0" xfId="0" applyNumberFormat="1" applyFont="1" applyFill="1" applyBorder="1" applyAlignment="1">
      <x:alignment wrapText="1"/>
    </x:xf>
    <x:xf numFmtId="0" fontId="9" fillId="0" borderId="1" xfId="0" applyNumberFormat="1" applyFont="1" applyFill="1" applyBorder="1" applyAlignment="1">
      <x:alignment wrapText="1"/>
    </x:xf>
    <x:xf numFmtId="200" fontId="9" fillId="0" borderId="1" xfId="0" applyNumberFormat="1" applyFont="1" applyFill="1" applyBorder="1" applyAlignment="1">
      <x:alignment wrapText="1"/>
    </x:xf>
    <x:xf numFmtId="0" fontId="0" fillId="0" borderId="2" xfId="0" applyNumberFormat="1" applyFont="1" applyFill="1" applyBorder="1" applyAlignment="1">
      <x:alignment wrapText="1"/>
    </x:xf>
    <x:xf numFmtId="20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200" fontId="0" fillId="0" borderId="3" xfId="0" applyNumberFormat="1" applyFont="1" applyFill="1" applyBorder="1" applyAlignment="1">
      <x:alignment wrapText="1"/>
    </x:xf>
    <x:xf numFmtId="0" fontId="9" fillId="0" borderId="2" xfId="0" applyNumberFormat="1" applyFont="1" applyFill="1" applyBorder="1" applyAlignment="1">
      <x:alignment wrapText="1"/>
    </x:xf>
    <x:xf numFmtId="0" fontId="9" fillId="0" borderId="3" xfId="0" applyNumberFormat="1" applyFont="1" applyFill="1" applyBorder="1" applyAlignment="1">
      <x:alignment wrapText="1"/>
    </x:xf>
    <x:xf numFmtId="200" fontId="9" fillId="0" borderId="2" xfId="0" applyNumberFormat="1" applyFont="1" applyFill="1" applyBorder="1" applyAlignment="1">
      <x:alignment wrapText="1"/>
    </x:xf>
    <x:xf numFmtId="200" fontId="9" fillId="0" borderId="3" xfId="0" applyNumberFormat="1" applyFont="1" applyFill="1" applyBorder="1" applyAlignment="1">
      <x:alignment wrapText="1"/>
    </x:xf>
    <x:xf numFmtId="0" fontId="2" fillId="7" borderId="0" xfId="0" applyNumberFormat="1" applyFont="1" applyFill="1" applyBorder="1"/>
    <x:xf numFmtId="0" fontId="2" fillId="7" borderId="1" xfId="0" applyNumberFormat="1" applyFont="1" applyFill="1" applyBorder="1"/>
    <x:xf numFmtId="200" fontId="2" fillId="7" borderId="0" xfId="0" applyNumberFormat="1" applyFont="1" applyFill="1" applyBorder="1"/>
    <x:xf numFmtId="200" fontId="2" fillId="7" borderId="1" xfId="0" applyNumberFormat="1" applyFont="1" applyFill="1" applyBorder="1"/>
    <x:xf numFmtId="0" fontId="2" fillId="7" borderId="0" xfId="0" applyNumberFormat="1" applyFont="1" applyFill="1" applyBorder="1" applyAlignment="1">
      <x:alignment wrapText="1"/>
    </x:xf>
    <x:xf numFmtId="200" fontId="2" fillId="7" borderId="0" xfId="0" applyNumberFormat="1" applyFont="1" applyFill="1" applyBorder="1" applyAlignment="1">
      <x:alignment wrapText="1"/>
    </x:xf>
    <x:xf numFmtId="0" fontId="2" fillId="7" borderId="1" xfId="0" applyNumberFormat="1" applyFont="1" applyFill="1" applyBorder="1" applyAlignment="1">
      <x:alignment wrapText="1"/>
    </x:xf>
    <x:xf numFmtId="200" fontId="2" fillId="7" borderId="1" xfId="0" applyNumberFormat="1" applyFont="1" applyFill="1" applyBorder="1" applyAlignment="1">
      <x:alignment wrapText="1"/>
    </x:xf>
    <x:xf numFmtId="0" fontId="2" fillId="4" borderId="0" xfId="0" applyNumberFormat="1" applyFont="1" applyFill="1" applyBorder="1"/>
    <x:xf numFmtId="0" fontId="2" fillId="4" borderId="1" xfId="0" applyNumberFormat="1" applyFont="1" applyFill="1" applyBorder="1"/>
    <x:xf numFmtId="200" fontId="2" fillId="4" borderId="0" xfId="0" applyNumberFormat="1" applyFont="1" applyFill="1" applyBorder="1"/>
    <x:xf numFmtId="200" fontId="2" fillId="4" borderId="1" xfId="0" applyNumberFormat="1" applyFont="1" applyFill="1" applyBorder="1"/>
    <x:xf numFmtId="0" fontId="2" fillId="4" borderId="0" xfId="0" applyNumberFormat="1" applyFont="1" applyFill="1" applyBorder="1" applyAlignment="1">
      <x:alignment wrapText="1"/>
    </x:xf>
    <x:xf numFmtId="200" fontId="2" fillId="4" borderId="0" xfId="0" applyNumberFormat="1" applyFont="1" applyFill="1" applyBorder="1" applyAlignment="1">
      <x:alignment wrapText="1"/>
    </x:xf>
    <x:xf numFmtId="0" fontId="2" fillId="4" borderId="1" xfId="0" applyNumberFormat="1" applyFont="1" applyFill="1" applyBorder="1" applyAlignment="1">
      <x:alignment wrapText="1"/>
    </x:xf>
    <x:xf numFmtId="200" fontId="2" fillId="4" borderId="1" xfId="0" applyNumberFormat="1" applyFont="1" applyFill="1" applyBorder="1" applyAlignment="1">
      <x:alignment wrapText="1"/>
    </x:xf>
    <x:xf numFmtId="0" fontId="9" fillId="0" borderId="0" xfId="0" applyNumberFormat="1" applyFont="1" applyFill="1" applyBorder="1"/>
    <x:xf numFmtId="0" fontId="9" fillId="0" borderId="1" xfId="0" applyNumberFormat="1" applyFont="1" applyFill="1" applyBorder="1"/>
    <x:xf numFmtId="200" fontId="9" fillId="0" borderId="0" xfId="0" applyNumberFormat="1" applyFont="1" applyFill="1" applyBorder="1"/>
    <x:xf numFmtId="200" fontId="9" fillId="0" borderId="1" xfId="0" applyNumberFormat="1" applyFont="1" applyFill="1" applyBorder="1"/>
    <x:xf numFmtId="0" fontId="5" fillId="2" borderId="0" xfId="0" applyNumberFormat="1" applyFont="1" applyFill="1" applyBorder="1" applyAlignment="1">
      <x:alignment horizontal="center"/>
    </x:xf>
    <x:xf numFmtId="0" fontId="5" fillId="2" borderId="1" xfId="0" applyNumberFormat="1" applyFont="1" applyFill="1" applyBorder="1" applyAlignment="1">
      <x:alignment horizontal="center"/>
    </x:xf>
    <x:xf numFmtId="0" fontId="0" fillId="11" borderId="0" xfId="0" applyNumberFormat="1" applyFont="1" applyFill="1" applyBorder="1"/>
    <x:xf numFmtId="0" fontId="2" fillId="11" borderId="0" xfId="0" applyNumberFormat="1" applyFont="1" applyFill="1" applyBorder="1"/>
    <x:xf numFmtId="0" fontId="0" fillId="11" borderId="1" xfId="0" applyNumberFormat="1" applyFont="1" applyFill="1" applyBorder="1"/>
    <x:xf numFmtId="0" fontId="2" fillId="11" borderId="1" xfId="0" applyNumberFormat="1" applyFont="1" applyFill="1" applyBorder="1"/>
    <x:xf numFmtId="200" fontId="2" fillId="11" borderId="0" xfId="0" applyNumberFormat="1" applyFont="1" applyFill="1" applyBorder="1"/>
    <x:xf numFmtId="200" fontId="2" fillId="11" borderId="1" xfId="0" applyNumberFormat="1" applyFont="1" applyFill="1" applyBorder="1"/>
    <x:xf numFmtId="0" fontId="5" fillId="6" borderId="0" xfId="0" applyNumberFormat="1" applyFont="1" applyFill="1" applyBorder="1" applyAlignment="1">
      <x:alignment horizontal="center"/>
    </x:xf>
    <x:xf numFmtId="200" fontId="0" fillId="6" borderId="0" xfId="0" applyNumberFormat="1" applyFont="1" applyFill="1" applyBorder="1"/>
    <x:xf numFmtId="0" fontId="5" fillId="6" borderId="1" xfId="0" applyNumberFormat="1" applyFont="1" applyFill="1" applyBorder="1" applyAlignment="1">
      <x:alignment horizontal="center"/>
    </x:xf>
    <x:xf numFmtId="200" fontId="0" fillId="6" borderId="1" xfId="0" applyNumberFormat="1" applyFont="1" applyFill="1" applyBorder="1"/>
    <x:xf numFmtId="0" fontId="5" fillId="7" borderId="0" xfId="0" applyNumberFormat="1" applyFont="1" applyFill="1" applyBorder="1" applyAlignment="1">
      <x:alignment horizontal="center"/>
    </x:xf>
    <x:xf numFmtId="200" fontId="0" fillId="7" borderId="0" xfId="0" applyNumberFormat="1" applyFont="1" applyFill="1" applyBorder="1"/>
    <x:xf numFmtId="0" fontId="5" fillId="7" borderId="1" xfId="0" applyNumberFormat="1" applyFont="1" applyFill="1" applyBorder="1" applyAlignment="1">
      <x:alignment horizontal="center"/>
    </x:xf>
    <x:xf numFmtId="200" fontId="0" fillId="7" borderId="1" xfId="0" applyNumberFormat="1" applyFont="1" applyFill="1" applyBorder="1"/>
    <x:xf numFmtId="0" fontId="5" fillId="4" borderId="0" xfId="0" applyNumberFormat="1" applyFont="1" applyFill="1" applyBorder="1" applyAlignment="1">
      <x:alignment horizontal="center"/>
    </x:xf>
    <x:xf numFmtId="200" fontId="0" fillId="4" borderId="0" xfId="0" applyNumberFormat="1" applyFont="1" applyFill="1" applyBorder="1"/>
    <x:xf numFmtId="0" fontId="5" fillId="4" borderId="1" xfId="0" applyNumberFormat="1" applyFont="1" applyFill="1" applyBorder="1" applyAlignment="1">
      <x:alignment horizontal="center"/>
    </x:xf>
    <x:xf numFmtId="200" fontId="0" fillId="4" borderId="1" xfId="0" applyNumberFormat="1" applyFont="1" applyFill="1" applyBorder="1"/>
    <x:xf numFmtId="0" fontId="2" fillId="11" borderId="2" xfId="0" applyNumberFormat="1" applyFont="1" applyFill="1" applyBorder="1"/>
    <x:xf numFmtId="200" fontId="2" fillId="6" borderId="2" xfId="0" applyNumberFormat="1" applyFont="1" applyFill="1" applyBorder="1"/>
    <x:xf numFmtId="200" fontId="2" fillId="7" borderId="2" xfId="0" applyNumberFormat="1" applyFont="1" applyFill="1" applyBorder="1"/>
    <x:xf numFmtId="200" fontId="2" fillId="4" borderId="2" xfId="0" applyNumberFormat="1" applyFont="1" applyFill="1" applyBorder="1"/>
    <x:xf numFmtId="0" fontId="2" fillId="11" borderId="3" xfId="0" applyNumberFormat="1" applyFont="1" applyFill="1" applyBorder="1"/>
    <x:xf numFmtId="200" fontId="2" fillId="6" borderId="3" xfId="0" applyNumberFormat="1" applyFont="1" applyFill="1" applyBorder="1"/>
    <x:xf numFmtId="200" fontId="2" fillId="7" borderId="3" xfId="0" applyNumberFormat="1" applyFont="1" applyFill="1" applyBorder="1"/>
    <x:xf numFmtId="200" fontId="2" fillId="4" borderId="3" xfId="0" applyNumberFormat="1" applyFont="1" applyFill="1" applyBorder="1"/>
    <x:xf numFmtId="0" fontId="10" fillId="10" borderId="0" xfId="0" applyNumberFormat="1" applyFont="1" applyFill="1" applyBorder="1"/>
    <x:xf numFmtId="0" fontId="10" fillId="10" borderId="0" xfId="0" applyNumberFormat="1" applyFont="1" applyFill="1" applyBorder="1" applyAlignment="1">
      <x:alignment wrapText="1"/>
    </x:xf>
    <x:xf numFmtId="0" fontId="10" fillId="10" borderId="0" xfId="0" applyNumberFormat="1" applyFont="1" applyFill="1" applyBorder="1" applyAlignment="1">
      <x:alignment vertical="top" wrapText="1"/>
    </x:xf>
    <x:xf numFmtId="0" fontId="10" fillId="10" borderId="1" xfId="0" applyNumberFormat="1" applyFont="1" applyFill="1" applyBorder="1"/>
    <x:xf numFmtId="0" fontId="10" fillId="10" borderId="1" xfId="0" applyNumberFormat="1" applyFont="1" applyFill="1" applyBorder="1" applyAlignment="1">
      <x:alignment wrapText="1"/>
    </x:xf>
    <x:xf numFmtId="0" fontId="10" fillId="10" borderId="1" xfId="0" applyNumberFormat="1" applyFont="1" applyFill="1" applyBorder="1" applyAlignment="1">
      <x:alignment vertical="top" wrapText="1"/>
    </x:xf>
    <x:xf numFmtId="0" fontId="0" fillId="10" borderId="0" xfId="0" applyNumberFormat="1" applyFont="1" applyFill="1" applyBorder="1" applyAlignment="1">
      <x:alignment wrapText="1"/>
    </x:xf>
    <x:xf numFmtId="0" fontId="0" fillId="10" borderId="0" xfId="0" applyNumberFormat="1" applyFont="1" applyFill="1" applyBorder="1" applyAlignment="1">
      <x:alignment vertical="top" wrapText="1"/>
    </x:xf>
    <x:xf numFmtId="0" fontId="0" fillId="10" borderId="1" xfId="0" applyNumberFormat="1" applyFont="1" applyFill="1" applyBorder="1" applyAlignment="1">
      <x:alignment wrapText="1"/>
    </x:xf>
    <x:xf numFmtId="0" fontId="0" fillId="10" borderId="1" xfId="0" applyNumberFormat="1" applyFont="1" applyFill="1" applyBorder="1" applyAlignment="1">
      <x:alignment vertical="top" wrapText="1"/>
    </x:xf>
    <x:xf numFmtId="203" fontId="6" fillId="0" borderId="0" xfId="0" applyNumberFormat="1" applyFont="1" applyFill="1" applyBorder="1" applyAlignment="1">
      <x:alignment horizontal="right"/>
    </x:xf>
    <x:xf numFmtId="203" fontId="6" fillId="0" borderId="1" xfId="0" applyNumberFormat="1" applyFont="1" applyFill="1" applyBorder="1" applyAlignment="1">
      <x:alignment horizontal="right"/>
    </x:xf>
    <x:xf numFmtId="200" fontId="6" fillId="12" borderId="0" xfId="0" applyNumberFormat="1" applyFont="1" applyFill="1" applyBorder="1" applyAlignment="1">
      <x:alignment horizontal="right"/>
    </x:xf>
    <x:xf numFmtId="0" fontId="8" fillId="12" borderId="0" xfId="0" applyNumberFormat="1" applyFont="1" applyFill="1" applyBorder="1" applyAlignment="1">
      <x:alignment wrapText="1"/>
    </x:xf>
    <x:xf numFmtId="201" fontId="6" fillId="12" borderId="0" xfId="0" applyNumberFormat="1" applyFont="1" applyFill="1" applyBorder="1" applyAlignment="1">
      <x:alignment horizontal="right"/>
    </x:xf>
    <x:xf numFmtId="200" fontId="7" fillId="12" borderId="0" xfId="0" applyNumberFormat="1" applyFont="1" applyFill="1" applyBorder="1" applyAlignment="1">
      <x:alignment horizontal="right"/>
    </x:xf>
    <x:xf numFmtId="202" fontId="6" fillId="12" borderId="0" xfId="0" applyNumberFormat="1" applyFont="1" applyFill="1" applyBorder="1" applyAlignment="1">
      <x:alignment horizontal="right"/>
    </x:xf>
    <x:xf numFmtId="203" fontId="6" fillId="12" borderId="0" xfId="0" applyNumberFormat="1" applyFont="1" applyFill="1" applyBorder="1" applyAlignment="1">
      <x:alignment horizontal="right"/>
    </x:xf>
    <x:xf numFmtId="200" fontId="6" fillId="12" borderId="2" xfId="0" applyNumberFormat="1" applyFont="1" applyFill="1" applyBorder="1" applyAlignment="1">
      <x:alignment horizontal="right"/>
    </x:xf>
    <x:xf numFmtId="0" fontId="8" fillId="12" borderId="2" xfId="0" applyNumberFormat="1" applyFont="1" applyFill="1" applyBorder="1" applyAlignment="1">
      <x:alignment wrapText="1"/>
    </x:xf>
    <x:xf numFmtId="200" fontId="6" fillId="12" borderId="1" xfId="0" applyNumberFormat="1" applyFont="1" applyFill="1" applyBorder="1" applyAlignment="1">
      <x:alignment horizontal="right"/>
    </x:xf>
    <x:xf numFmtId="0" fontId="8" fillId="12" borderId="1" xfId="0" applyNumberFormat="1" applyFont="1" applyFill="1" applyBorder="1" applyAlignment="1">
      <x:alignment wrapText="1"/>
    </x:xf>
    <x:xf numFmtId="201" fontId="6" fillId="12" borderId="1" xfId="0" applyNumberFormat="1" applyFont="1" applyFill="1" applyBorder="1" applyAlignment="1">
      <x:alignment horizontal="right"/>
    </x:xf>
    <x:xf numFmtId="200" fontId="7" fillId="12" borderId="1" xfId="0" applyNumberFormat="1" applyFont="1" applyFill="1" applyBorder="1" applyAlignment="1">
      <x:alignment horizontal="right"/>
    </x:xf>
    <x:xf numFmtId="202" fontId="6" fillId="12" borderId="1" xfId="0" applyNumberFormat="1" applyFont="1" applyFill="1" applyBorder="1" applyAlignment="1">
      <x:alignment horizontal="right"/>
    </x:xf>
    <x:xf numFmtId="203" fontId="6" fillId="12" borderId="1" xfId="0" applyNumberFormat="1" applyFont="1" applyFill="1" applyBorder="1" applyAlignment="1">
      <x:alignment horizontal="right"/>
    </x:xf>
    <x:xf numFmtId="200" fontId="6" fillId="12" borderId="3" xfId="0" applyNumberFormat="1" applyFont="1" applyFill="1" applyBorder="1" applyAlignment="1">
      <x:alignment horizontal="right"/>
    </x:xf>
    <x:xf numFmtId="0" fontId="8" fillId="12" borderId="3" xfId="0" applyNumberFormat="1" applyFont="1" applyFill="1" applyBorder="1" applyAlignment="1">
      <x:alignment wrapText="1"/>
    </x:xf>
    <x:xf numFmtId="0" fontId="0" fillId="12" borderId="0" xfId="0" applyNumberFormat="1" applyFont="1" applyFill="1" applyBorder="1"/>
    <x:xf numFmtId="200" fontId="0" fillId="12" borderId="0" xfId="0" applyNumberFormat="1" applyFont="1" applyFill="1" applyBorder="1"/>
    <x:xf numFmtId="0" fontId="9" fillId="12" borderId="0" xfId="0" applyNumberFormat="1" applyFont="1" applyFill="1" applyBorder="1"/>
    <x:xf numFmtId="200" fontId="9" fillId="12" borderId="0" xfId="0" applyNumberFormat="1" applyFont="1" applyFill="1" applyBorder="1"/>
    <x:xf numFmtId="0" fontId="2" fillId="12" borderId="0" xfId="0" applyNumberFormat="1" applyFont="1" applyFill="1" applyBorder="1"/>
    <x:xf numFmtId="200" fontId="2" fillId="12" borderId="0" xfId="0" applyNumberFormat="1" applyFont="1" applyFill="1" applyBorder="1"/>
    <x:xf numFmtId="0" fontId="0" fillId="12" borderId="1" xfId="0" applyNumberFormat="1" applyFont="1" applyFill="1" applyBorder="1"/>
    <x:xf numFmtId="200" fontId="0" fillId="12" borderId="1" xfId="0" applyNumberFormat="1" applyFont="1" applyFill="1" applyBorder="1"/>
    <x:xf numFmtId="0" fontId="9" fillId="12" borderId="1" xfId="0" applyNumberFormat="1" applyFont="1" applyFill="1" applyBorder="1"/>
    <x:xf numFmtId="200" fontId="9" fillId="12" borderId="1" xfId="0" applyNumberFormat="1" applyFont="1" applyFill="1" applyBorder="1"/>
    <x:xf numFmtId="0" fontId="2" fillId="12" borderId="1" xfId="0" applyNumberFormat="1" applyFont="1" applyFill="1" applyBorder="1"/>
    <x:xf numFmtId="200" fontId="2" fillId="12" borderId="1" xfId="0" applyNumberFormat="1" applyFont="1" applyFill="1" applyBorder="1"/>
    <x:xf numFmtId="0" fontId="0" fillId="12" borderId="0" xfId="0" applyNumberFormat="1" applyFont="1" applyFill="1" applyBorder="1" applyAlignment="1">
      <x:alignment wrapText="1"/>
    </x:xf>
    <x:xf numFmtId="200" fontId="0" fillId="12" borderId="0" xfId="0" applyNumberFormat="1" applyFont="1" applyFill="1" applyBorder="1" applyAlignment="1">
      <x:alignment wrapText="1"/>
    </x:xf>
    <x:xf numFmtId="0" fontId="5" fillId="12" borderId="0" xfId="0" applyNumberFormat="1" applyFont="1" applyFill="1" applyBorder="1" applyAlignment="1">
      <x:alignment wrapText="1"/>
    </x:xf>
    <x:xf numFmtId="200" fontId="5" fillId="12" borderId="0" xfId="0" applyNumberFormat="1" applyFont="1" applyFill="1" applyBorder="1" applyAlignment="1">
      <x:alignment wrapText="1"/>
    </x:xf>
    <x:xf numFmtId="203" fontId="0" fillId="12" borderId="0" xfId="0" applyNumberFormat="1" applyFont="1" applyFill="1" applyBorder="1" applyAlignment="1">
      <x:alignment wrapText="1"/>
    </x:xf>
    <x:xf numFmtId="0" fontId="9" fillId="12" borderId="0" xfId="0" applyNumberFormat="1" applyFont="1" applyFill="1" applyBorder="1" applyAlignment="1">
      <x:alignment wrapText="1"/>
    </x:xf>
    <x:xf numFmtId="200" fontId="9" fillId="12" borderId="0" xfId="0" applyNumberFormat="1" applyFont="1" applyFill="1" applyBorder="1" applyAlignment="1">
      <x:alignment wrapText="1"/>
    </x:xf>
    <x:xf numFmtId="0" fontId="2" fillId="12" borderId="0" xfId="0" applyNumberFormat="1" applyFont="1" applyFill="1" applyBorder="1" applyAlignment="1">
      <x:alignment wrapText="1"/>
    </x:xf>
    <x:xf numFmtId="200" fontId="2" fillId="12" borderId="0" xfId="0" applyNumberFormat="1" applyFont="1" applyFill="1" applyBorder="1" applyAlignment="1">
      <x:alignment wrapText="1"/>
    </x:xf>
    <x:xf numFmtId="200" fontId="8" fillId="12" borderId="0" xfId="0" applyNumberFormat="1" applyFont="1" applyFill="1" applyBorder="1" applyAlignment="1">
      <x:alignment vertical="top" wrapText="1"/>
    </x:xf>
    <x:xf numFmtId="0" fontId="9" fillId="12" borderId="2" xfId="0" applyNumberFormat="1" applyFont="1" applyFill="1" applyBorder="1" applyAlignment="1">
      <x:alignment wrapText="1"/>
    </x:xf>
    <x:xf numFmtId="200" fontId="9" fillId="12" borderId="2" xfId="0" applyNumberFormat="1" applyFont="1" applyFill="1" applyBorder="1" applyAlignment="1">
      <x:alignment wrapText="1"/>
    </x:xf>
    <x:xf numFmtId="0" fontId="0" fillId="12" borderId="1" xfId="0" applyNumberFormat="1" applyFont="1" applyFill="1" applyBorder="1" applyAlignment="1">
      <x:alignment wrapText="1"/>
    </x:xf>
    <x:xf numFmtId="200" fontId="0" fillId="12" borderId="1" xfId="0" applyNumberFormat="1" applyFont="1" applyFill="1" applyBorder="1" applyAlignment="1">
      <x:alignment wrapText="1"/>
    </x:xf>
    <x:xf numFmtId="0" fontId="5" fillId="12" borderId="1" xfId="0" applyNumberFormat="1" applyFont="1" applyFill="1" applyBorder="1" applyAlignment="1">
      <x:alignment wrapText="1"/>
    </x:xf>
    <x:xf numFmtId="200" fontId="5" fillId="12" borderId="1" xfId="0" applyNumberFormat="1" applyFont="1" applyFill="1" applyBorder="1" applyAlignment="1">
      <x:alignment wrapText="1"/>
    </x:xf>
    <x:xf numFmtId="203" fontId="0" fillId="12" borderId="1" xfId="0" applyNumberFormat="1" applyFont="1" applyFill="1" applyBorder="1" applyAlignment="1">
      <x:alignment wrapText="1"/>
    </x:xf>
    <x:xf numFmtId="0" fontId="9" fillId="12" borderId="1" xfId="0" applyNumberFormat="1" applyFont="1" applyFill="1" applyBorder="1" applyAlignment="1">
      <x:alignment wrapText="1"/>
    </x:xf>
    <x:xf numFmtId="200" fontId="9" fillId="12" borderId="1" xfId="0" applyNumberFormat="1" applyFont="1" applyFill="1" applyBorder="1" applyAlignment="1">
      <x:alignment wrapText="1"/>
    </x:xf>
    <x:xf numFmtId="0" fontId="2" fillId="12" borderId="1" xfId="0" applyNumberFormat="1" applyFont="1" applyFill="1" applyBorder="1" applyAlignment="1">
      <x:alignment wrapText="1"/>
    </x:xf>
    <x:xf numFmtId="200" fontId="2" fillId="12" borderId="1" xfId="0" applyNumberFormat="1" applyFont="1" applyFill="1" applyBorder="1" applyAlignment="1">
      <x:alignment wrapText="1"/>
    </x:xf>
    <x:xf numFmtId="200" fontId="8" fillId="12" borderId="1" xfId="0" applyNumberFormat="1" applyFont="1" applyFill="1" applyBorder="1" applyAlignment="1">
      <x:alignment vertical="top" wrapText="1"/>
    </x:xf>
    <x:xf numFmtId="0" fontId="9" fillId="12" borderId="3" xfId="0" applyNumberFormat="1" applyFont="1" applyFill="1" applyBorder="1" applyAlignment="1">
      <x:alignment wrapText="1"/>
    </x:xf>
    <x:xf numFmtId="200" fontId="9" fillId="12" borderId="3" xfId="0" applyNumberFormat="1" applyFont="1" applyFill="1" applyBorder="1" applyAlignment="1">
      <x:alignment wrapText="1"/>
    </x:xf>
    <x:xf numFmtId="0" fontId="0" fillId="12" borderId="0" xfId="0" applyNumberFormat="1" applyFont="1" applyFill="1" applyBorder="1" applyAlignment="1">
      <x:alignment vertical="top" wrapText="1"/>
    </x:xf>
    <x:xf numFmtId="0" fontId="0" fillId="12" borderId="1" xfId="0" applyNumberFormat="1" applyFont="1" applyFill="1" applyBorder="1" applyAlignment="1">
      <x:alignment vertical="top" wrapText="1"/>
    </x:xf>
    <x:xf numFmtId="0" fontId="0" fillId="12" borderId="2" xfId="0" applyNumberFormat="1" applyFont="1" applyFill="1" applyBorder="1" applyAlignment="1">
      <x:alignment wrapText="1"/>
    </x:xf>
    <x:xf numFmtId="0" fontId="0" fillId="12" borderId="3" xfId="0" applyNumberFormat="1" applyFont="1" applyFill="1" applyBorder="1" applyAlignment="1">
      <x:alignment wrapText="1"/>
    </x:xf>
  </x:cellXfs>
  <x:cellStyles count="1">
    <x:cellStyle name="Normal" xfId="0"/>
  </x:cellStyles>
  <x:dxfs count="8">
    <x:dxf>
      <x:font>
        <x:color rgb="FFB91C1C"/>
      </x:font>
      <x:fill>
        <x:patternFill patternType="solid">
          <x:bgColor rgb="FFFDE7E7"/>
        </x:patternFill>
      </x:fill>
    </x:dxf>
    <x:dxf>
      <x:font>
        <x:color rgb="FFB91C1C"/>
      </x:font>
      <x:fill>
        <x:patternFill patternType="solid">
          <x:bgColor rgb="FFFDE7E7"/>
        </x:patternFill>
      </x:fill>
    </x:dxf>
    <x:dxf>
      <x:font>
        <x:color rgb="FFB91C1C"/>
      </x:font>
      <x:fill>
        <x:patternFill patternType="solid">
          <x:bgColor rgb="FFFDE7E7"/>
        </x:patternFill>
      </x:fill>
    </x:dxf>
    <x:dxf>
      <x:font>
        <x:color rgb="FFB91C1C"/>
      </x:font>
      <x:fill>
        <x:patternFill patternType="solid">
          <x:bgColor rgb="FFFDE7E7"/>
        </x:patternFill>
      </x:fill>
    </x:dxf>
    <x:dxf>
      <x:font>
        <x:color rgb="FFB91C1C"/>
      </x:font>
      <x:fill>
        <x:patternFill patternType="solid">
          <x:bgColor rgb="FFFDE7E7"/>
        </x:patternFill>
      </x:fill>
    </x:dxf>
    <x:dxf>
      <x:font>
        <x:color rgb="FFB91C1C"/>
      </x:font>
      <x:fill>
        <x:patternFill patternType="solid">
          <x:bgColor rgb="FFFDE7E7"/>
        </x:patternFill>
      </x:fill>
    </x:dxf>
    <x:dxf>
      <x:font>
        <x:color rgb="FFB91C1C"/>
      </x:font>
      <x:fill>
        <x:patternFill patternType="solid">
          <x:bgColor rgb="FFFDE7E7"/>
        </x:patternFill>
      </x:fill>
    </x:dxf>
    <x:dxf>
      <x:font>
        <x:color rgb="FFB91C1C"/>
      </x:font>
      <x:fill>
        <x:patternFill patternType="solid">
          <x:bgColor rgb="FFFD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ac8bcda5ec149c4" /><Relationship Type="http://schemas.openxmlformats.org/officeDocument/2006/relationships/theme" Target="/xl/theme/theme1.xml" Id="R02a67fd3b61548b2" /><Relationship Type="http://schemas.openxmlformats.org/officeDocument/2006/relationships/sharedStrings" Target="/xl/sharedStrings.xml" Id="R1f4ce3ee05194205" /><Relationship Type="http://schemas.openxmlformats.org/officeDocument/2006/relationships/worksheet" Target="/xl/worksheets/sheet1.xml" Id="Rb6c8a52d52814098" /><Relationship Type="http://schemas.openxmlformats.org/officeDocument/2006/relationships/worksheet" Target="/xl/worksheets/sheet2.xml" Id="Rc5ceab7a1b9746ba" /><Relationship Type="http://schemas.openxmlformats.org/officeDocument/2006/relationships/worksheet" Target="/xl/worksheets/sheet3.xml" Id="Rddd723946f7d4734" /><Relationship Type="http://schemas.openxmlformats.org/officeDocument/2006/relationships/worksheet" Target="/xl/worksheets/sheet4.xml" Id="R4979fd56253644da" /><Relationship Type="http://schemas.openxmlformats.org/officeDocument/2006/relationships/worksheet" Target="/xl/worksheets/sheet5.xml" Id="Rb36d1baf56f842d5" /><Relationship Type="http://schemas.openxmlformats.org/officeDocument/2006/relationships/worksheet" Target="/xl/worksheets/sheet6.xml" Id="Reb113c2372454032" /><Relationship Type="http://schemas.openxmlformats.org/officeDocument/2006/relationships/worksheet" Target="/xl/worksheets/sheet7.xml" Id="Rd21bdd3ff4bb48a0" /><Relationship Type="http://schemas.openxmlformats.org/officeDocument/2006/relationships/worksheet" Target="/xl/worksheets/sheet8.xml" Id="R3e2aaf73e8444ba2" /><Relationship Type="http://schemas.openxmlformats.org/officeDocument/2006/relationships/worksheet" Target="/xl/worksheets/sheet9.xml" Id="Rb8b206ca74184553" /><Relationship Type="http://schemas.openxmlformats.org/officeDocument/2006/relationships/worksheet" Target="/xl/worksheets/sheet10.xml" Id="R11e7f30dc6054028" /></Relationships>
</file>

<file path=xl/drawings/_rels/drawing1.xml.rels>&#65279;<?xml version="1.0" encoding="utf-8"?><Relationships xmlns="http://schemas.openxmlformats.org/package/2006/relationships"><Relationship Type="http://schemas.openxmlformats.org/officeDocument/2006/relationships/chart" Target="/xl/drawings/charts/chart1.xml" Id="Rf0dc057a47d6409a" /><Relationship Type="http://schemas.openxmlformats.org/officeDocument/2006/relationships/chart" Target="/xl/drawings/charts/chart2.xml" Id="Rf8b34e34cf1649b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Celkový čistý dopad do 2043 (mil. Kč)</a:t>
            </a:r>
          </a:p>
        </c:rich>
      </c:tx>
    </c:title>
    <c:plotArea>
      <c:barChart>
        <c:barDir val="col"/>
        <c:varyColors val="0"/>
        <c:ser>
          <c:idx val="0"/>
          <c:order val="0"/>
          <c:tx>
            <c:v>Celkový čistý dopad do 2043</c:v>
          </c:tx>
          <c:cat>
            <c:strRef>
              <c:f>'Souhrn'!$J$4:$J$6</c:f>
              <c:strCache>
                <c:ptCount val="0"/>
              </c:strCache>
            </c:strRef>
          </c:cat>
          <c:val>
            <c:numRef>
              <c:f>'Souhrn'!$K$4:$K$6</c:f>
              <c:numCache>
                <c:formatCode>#,##0.00;[Red](#,##0.00);-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Zůstatek pro jiné investice bez nových příjmů</a:t>
            </a:r>
          </a:p>
        </c:rich>
      </c:tx>
    </c:title>
    <c:plotArea>
      <c:lineChart>
        <c:grouping val="standard"/>
        <c:ser>
          <c:idx val="0"/>
          <c:order val="0"/>
          <c:tx>
            <c:v>BEST – zůstatek</c:v>
          </c:tx>
          <c:marker>
            <c:symbol val="none"/>
          </c:marker>
          <c:cat>
            <c:strRef>
              <c:f>'Souhrn'!$A$26:$A$40</c:f>
              <c:strCache>
                <c:ptCount val="0"/>
              </c:strCache>
            </c:strRef>
          </c:cat>
          <c:val>
            <c:numRef>
              <c:f>'Souhrn'!$B$26:$B$40</c:f>
              <c:numCache>
                <c:formatCode>#,##0.00;[Red](#,##0.00);-</c:formatCode>
                <c:ptCount val="0"/>
              </c:numCache>
            </c:numRef>
          </c:val>
        </c:ser>
        <c:ser>
          <c:idx val="1"/>
          <c:order val="1"/>
          <c:tx>
            <c:v>NORMAL – zůstatek</c:v>
          </c:tx>
          <c:marker>
            <c:symbol val="none"/>
          </c:marker>
          <c:cat>
            <c:strRef>
              <c:f>'Souhrn'!$A$26:$A$40</c:f>
              <c:strCache>
                <c:ptCount val="0"/>
              </c:strCache>
            </c:strRef>
          </c:cat>
          <c:val>
            <c:numRef>
              <c:f>'Souhrn'!$C$26:$C$40</c:f>
              <c:numCache>
                <c:formatCode>#,##0.00;[Red](#,##0.00);-</c:formatCode>
                <c:ptCount val="0"/>
              </c:numCache>
            </c:numRef>
          </c:val>
        </c:ser>
        <c:ser>
          <c:idx val="2"/>
          <c:order val="2"/>
          <c:tx>
            <c:v>WORST – zůstatek</c:v>
          </c:tx>
          <c:marker>
            <c:symbol val="none"/>
          </c:marker>
          <c:cat>
            <c:strRef>
              <c:f>'Souhrn'!$A$26:$A$40</c:f>
              <c:strCache>
                <c:ptCount val="0"/>
              </c:strCache>
            </c:strRef>
          </c:cat>
          <c:val>
            <c:numRef>
              <c:f>'Souhrn'!$D$26:$D$40</c:f>
              <c:numCache>
                <c:formatCode>#,##0.00;[Red](#,##0.00);-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15</xdr:row>
      <xdr:rowOff>0</xdr:rowOff>
    </xdr:from>
    <xdr:to>
      <xdr:col>14</xdr:col>
      <xdr:colOff>0</xdr:colOff>
      <xdr:row>31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0dc057a47d6409a"/>
        </a:graphicData>
      </a:graphic>
    </xdr:graphicFrame>
    <xdr:clientData/>
  </xdr:twoCellAnchor>
  <xdr:twoCellAnchor>
    <xdr:from>
      <xdr:col>5</xdr:col>
      <xdr:colOff>0</xdr:colOff>
      <xdr:row>31</xdr:row>
      <xdr:rowOff>0</xdr:rowOff>
    </xdr:from>
    <xdr:to>
      <xdr:col>14</xdr:col>
      <xdr:colOff>0</xdr:colOff>
      <xdr:row>49</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8b34e34cf1649ba"/>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8.xml.rels>&#65279;<?xml version="1.0" encoding="utf-8"?><Relationships xmlns="http://schemas.openxmlformats.org/package/2006/relationships"><Relationship Type="http://schemas.openxmlformats.org/officeDocument/2006/relationships/drawing" Target="/xl/drawings/drawing1.xml" Id="Ra20994fe750945a0" /></Relationships>
</file>

<file path=xl/worksheets/sheet1.xml><?xml version="1.0" encoding="utf-8"?>
<x:worksheet xmlns:x="http://schemas.openxmlformats.org/spreadsheetml/2006/main">
  <x:sheetFormatPr defaultRowHeight="15"/>
  <x:cols>
    <x:col min="1" max="1" width="24" hidden="0" customWidth="1"/>
    <x:col min="2" max="2" width="88" hidden="0" customWidth="1"/>
  </x:cols>
  <x:sheetData>
    <x:row r="1" ht="30" customHeight="1">
      <x:c r="A1" s="24" t="str">
        <x:v>Dlouhodobá finanční rozvaha – přístavba II. stupně ZŠ Libiš</x:v>
      </x:c>
      <x:c r="B1" s="24"/>
      <x:c r="C1" s="24"/>
      <x:c r="D1" s="24"/>
      <x:c r="E1" s="24"/>
      <x:c r="F1" s="24"/>
    </x:row>
    <x:row r="2">
      <x:c r="A2" s="14"/>
      <x:c r="B2" s="14"/>
      <x:c r="C2" s="14"/>
      <x:c r="D2" s="14"/>
      <x:c r="E2" s="14"/>
      <x:c r="F2" s="14"/>
    </x:row>
    <x:row r="3">
      <x:c r="A3" s="10" t="str">
        <x:v>Účel</x:v>
      </x:c>
      <x:c r="B3" s="263" t="str">
        <x:v>Ukázat, jak by měl vypadat dlouhodobý projektový cash-flow před rozhodnutím o investici cca 145 mil. Kč. Nejde o oficiální rozpočet obce ani o předpověď – neznámé vstupy jsou výslovně označené jako modelové.</x:v>
      </x:c>
      <x:c r="C3" s="14"/>
      <x:c r="D3" s="14"/>
      <x:c r="E3" s="14"/>
      <x:c r="F3" s="14"/>
    </x:row>
    <x:row r="4">
      <x:c r="A4" s="10" t="str">
        <x:v>Scénáře</x:v>
      </x:c>
      <x:c r="B4" s="263" t="str">
        <x:v>BEST = plné uvažované dotace a příznivý provoz; NORMAL = bez dotací + mírný stres; WORST = bez dotací + vyšší rezerva na změny, vyšší úrok, nižší návštěvnost a vyšší provozní/servisní náklady.</x:v>
      </x:c>
      <x:c r="C4" s="14"/>
      <x:c r="D4" s="14"/>
      <x:c r="E4" s="14"/>
      <x:c r="F4" s="14"/>
    </x:row>
    <x:row r="5">
      <x:c r="A5" s="10" t="str">
        <x:v>Horizont</x:v>
      </x:c>
      <x:c r="B5" s="263" t="str">
        <x:v>2026–2043: příprava/výstavba + 15 let modelované splatnosti úvěru od roku 2029. Zákonný střednědobý výhled bývá zpravidla 2–5 let, ale dlouhodobé závazky mají ukazovat dopad po celou dobu trvání.</x:v>
      </x:c>
      <x:c r="C5" s="14"/>
      <x:c r="D5" s="14"/>
      <x:c r="E5" s="14"/>
      <x:c r="F5" s="14"/>
    </x:row>
    <x:row r="6">
      <x:c r="A6" s="10" t="str">
        <x:v>Co je převzato z podkladu obce</x:v>
      </x:c>
      <x:c r="B6" s="263" t="str">
        <x:v>Cena díla 145,2 mil. Kč; vlastní krytí 85,1 mil. Kč; uvažované dotace 10 + 20 mil. Kč; možnost úvěru cca 30 / 60 mil. Kč; vybavení 2–4 mil. Kč; 1 mil. Kč nepedagogové; provoz do 3 mil. Kč; platby Neratovicím 536 tis. Kč/rok.</x:v>
      </x:c>
      <x:c r="C6" s="14"/>
      <x:c r="D6" s="14"/>
      <x:c r="E6" s="14"/>
      <x:c r="F6" s="14"/>
    </x:row>
    <x:row r="7">
      <x:c r="A7" s="10" t="str">
        <x:v>Co je modelové</x:v>
      </x:c>
      <x:c r="B7" s="263" t="str">
        <x:v>Kalendář plateb zhotoviteli, úrokové sazby, rezerva na změny/vícepráce, rozpad provozu, růst provozních nákladů, návštěvnost ve scénářích, načasování technických služeb a modelové +3 mil. Kč opakovaných příjmů.</x:v>
      </x:c>
      <x:c r="C7" s="14"/>
      <x:c r="D7" s="14"/>
      <x:c r="E7" s="14"/>
      <x:c r="F7" s="14"/>
    </x:row>
    <x:row r="8">
      <x:c r="A8" s="10" t="str">
        <x:v>Klíč k interpretaci</x:v>
      </x:c>
      <x:c r="B8" s="263" t="str">
        <x:v>Nejdůležitější není jediný odhad ceny školy, ale kolik po škole, úvěru, provozu a dalších známých záměrech zbude každý rok na jiné investice v Libiši.</x:v>
      </x:c>
      <x:c r="C8" s="14"/>
      <x:c r="D8" s="14"/>
      <x:c r="E8" s="14"/>
      <x:c r="F8" s="14"/>
    </x:row>
    <x:row r="9">
      <x:c r="A9" s="10" t="str">
        <x:v>Pozor k RUD</x:v>
      </x:c>
      <x:c r="B9" s="263" t="str">
        <x:v>MF pro rok 2026 uvádí předběžně cca 36,786 tis. Kč na jednoho přepočteného žáka. Obec však ve svém podkladu pro jednoduchý odhad používá cca 20 tis. Kč × počet žáků. Tento model používá 20 tis. Kč/žáka, aby nepřeceňoval kompenzaci.</x:v>
      </x:c>
      <x:c r="C9" s="14"/>
      <x:c r="D9" s="14"/>
      <x:c r="E9" s="14"/>
      <x:c r="F9" s="14"/>
    </x:row>
    <x:row r="10">
      <x:c r="A10" s="10" t="str">
        <x:v>Pozor k demografii</x:v>
      </x:c>
      <x:c r="B10" s="263" t="str">
        <x:v>Demografická studie uvádí cca 150 dětí ve věku 11–14 let kolem roku 2030 a cca 120 v roce 2040. Současná návštěvnost 1. stupně je cca 75 %, u 1. třídy 69 %. Studie připouští růst zájmu po otevření II. stupně, ale neví o kolik.</x:v>
      </x:c>
      <x:c r="C10" s="14"/>
      <x:c r="D10" s="14"/>
      <x:c r="E10" s="14"/>
      <x:c r="F10" s="14"/>
    </x:row>
    <x:row r="11">
      <x:c r="A11" s="10" t="str">
        <x:v>Údržba</x:v>
      </x:c>
      <x:c r="B11" s="263" t="str">
        <x:v>ČKAIT uvádí jako obvyklou dlouhodobou úroveň nákladů na údržbu a opravy cca 1 % pořizovací ceny budovy ročně. NORMAL používá 1 %, BEST 0,7 % a WORST 1,5 % jako stresový rozsah.</x:v>
      </x:c>
      <x:c r="C11" s="14"/>
      <x:c r="D11" s="14"/>
      <x:c r="E11" s="14"/>
      <x:c r="F11" s="14"/>
    </x:row>
    <x:row r="12">
      <x:c r="A12" s="10" t="str">
        <x:v>Právní rámec</x:v>
      </x:c>
      <x:c r="B12" s="263" t="str">
        <x:v>§ 3 zákona č. 250/2000 Sb.: střednědobý výhled obsahuje finanční zdroje a potřeby dlouhodobě realizovaných záměrů; u dlouhodobých závazků se uvádí dopad po celou dobu jejich trvání.</x:v>
      </x:c>
      <x:c r="C12" s="14"/>
      <x:c r="D12" s="14"/>
      <x:c r="E12" s="14"/>
      <x:c r="F12" s="14"/>
    </x:row>
    <x:row r="13">
      <x:c r="A13" s="10" t="str">
        <x:v>Cenová báze</x:v>
      </x:c>
      <x:c r="B13" s="239" t="str">
        <x:v>Součty do roku 2043 jsou nominální modelové cash-flow, nikoli diskontovaná současná hodnota. Provozní náklady a modelovaná RUD se vyvíjejí podle scénářových růstových předpokladů.</x:v>
      </x:c>
      <x:c r="C13" s="14"/>
      <x:c r="D13" s="14"/>
      <x:c r="E13" s="14"/>
      <x:c r="F13" s="14"/>
    </x:row>
    <x:row r="14">
      <x:c r="A14" s="20" t="str">
        <x:v>Červeně v modelu nejsou „špatná čísla“, ale záporný zůstatek investiční kapacity – tedy roky, kdy by při zadaných předpokladech nezbývaly prostředky na jiné investice.</x:v>
      </x:c>
      <x:c r="B14" s="20"/>
      <x:c r="C14" s="20"/>
      <x:c r="D14" s="20"/>
      <x:c r="E14" s="20"/>
      <x:c r="F14" s="20"/>
    </x:row>
    <x:row r="15">
      <x:c r="A15" s="14"/>
      <x:c r="B15" s="14"/>
      <x:c r="C15" s="14"/>
      <x:c r="D15" s="14"/>
      <x:c r="E15" s="14"/>
      <x:c r="F15" s="14"/>
    </x:row>
    <x:row r="16">
      <x:c r="A16" s="14"/>
      <x:c r="B16" s="14"/>
      <x:c r="C16" s="14"/>
      <x:c r="D16" s="14"/>
      <x:c r="E16" s="14"/>
      <x:c r="F16" s="14"/>
    </x:row>
  </x:sheetData>
  <x:mergeCells>
    <x:mergeCell ref="A1:F1"/>
    <x:mergeCell ref="A14:F14"/>
  </x:mergeCells>
  <x:pageMargins left="0.7" right="0.7" top="0.75" bottom="0.75" header="0.3" footer="0.3"/>
</x:worksheet>
</file>

<file path=xl/worksheets/sheet2.xml><?xml version="1.0" encoding="utf-8"?>
<x:worksheet xmlns:x="http://schemas.openxmlformats.org/spreadsheetml/2006/main">
  <x:sheetFormatPr defaultRowHeight="15"/>
  <x:cols>
    <x:col min="1" max="1" width="16" hidden="0" customWidth="1"/>
    <x:col min="2" max="2" width="42" hidden="0" customWidth="1"/>
    <x:col min="3" max="3" width="17" hidden="0" customWidth="1"/>
    <x:col min="4" max="4" width="13" hidden="0" customWidth="1"/>
    <x:col min="5" max="5" width="13" hidden="0" customWidth="1"/>
    <x:col min="6" max="6" width="13" hidden="0" customWidth="1"/>
    <x:col min="7" max="7" width="58" hidden="0" customWidth="1"/>
    <x:col min="8" max="8" width="70" hidden="0" customWidth="1"/>
  </x:cols>
  <x:sheetData>
    <x:row r="1" ht="28" customHeight="1">
      <x:c r="A1" s="26" t="str">
        <x:v>Předpoklady scénářů a zdroje</x:v>
      </x:c>
      <x:c r="B1" s="26"/>
      <x:c r="C1" s="26"/>
      <x:c r="D1" s="26"/>
      <x:c r="E1" s="26"/>
      <x:c r="F1" s="26"/>
      <x:c r="G1" s="26"/>
      <x:c r="H1" s="26"/>
    </x:row>
    <x:row r="3">
      <x:c r="A3" s="30" t="str">
        <x:v>Kategorie</x:v>
      </x:c>
      <x:c r="B3" s="30" t="str">
        <x:v>Vstup / parametr</x:v>
      </x:c>
      <x:c r="C3" s="30" t="str">
        <x:v>Jednotka</x:v>
      </x:c>
      <x:c r="D3" s="30" t="str">
        <x:v>BEST</x:v>
      </x:c>
      <x:c r="E3" s="30" t="str">
        <x:v>NORMAL</x:v>
      </x:c>
      <x:c r="F3" s="30" t="str">
        <x:v>WORST</x:v>
      </x:c>
      <x:c r="G3" s="30" t="str">
        <x:v>Zdroj / vysvětlení</x:v>
      </x:c>
      <x:c r="H3" s="30" t="str">
        <x:v>URL / dokument</x:v>
      </x:c>
    </x:row>
    <x:row r="4">
      <x:c r="A4" s="54" t="str">
        <x:v>Investice</x:v>
      </x:c>
      <x:c r="B4" s="54" t="str">
        <x:v>Základní cena stavebního díla</x:v>
      </x:c>
      <x:c r="C4" s="54" t="str">
        <x:v>mil. Kč</x:v>
      </x:c>
      <x:c r="D4" s="211" t="n">
        <x:v>145.2</x:v>
      </x:c>
      <x:c r="E4" s="211" t="n">
        <x:v>145.2</x:v>
      </x:c>
      <x:c r="F4" s="211" t="n">
        <x:v>145.2</x:v>
      </x:c>
      <x:c r="G4" s="212" t="str">
        <x:v>Podklad obce – „finanční rozvaha přístavby II. stupně ZŠ Libiš.xlsx“, odhad 120 mil. + 21 % DPH.</x:v>
      </x:c>
      <x:c r="H4" s="212" t="str">
        <x:v>dodaný podklad obce</x:v>
      </x:c>
    </x:row>
    <x:row r="5">
      <x:c r="A5" s="54" t="str">
        <x:v>Investice</x:v>
      </x:c>
      <x:c r="B5" s="54" t="str">
        <x:v>Modelová rezerva na změny / vícepráce</x:v>
      </x:c>
      <x:c r="C5" s="54" t="str">
        <x:v>% ceny</x:v>
      </x:c>
      <x:c r="D5" s="213" t="n">
        <x:v>0</x:v>
      </x:c>
      <x:c r="E5" s="213" t="n">
        <x:v>0</x:v>
      </x:c>
      <x:c r="F5" s="213" t="n">
        <x:v>0.05</x:v>
      </x:c>
      <x:c r="G5" s="212" t="str">
        <x:v>Modelový stres; nejde o tvrzení, že k navýšení dojde. Má ukázat citlivost financování na změny ceny.</x:v>
      </x:c>
      <x:c r="H5" s="212" t="str">
        <x:v>modelový vstup</x:v>
      </x:c>
    </x:row>
    <x:row r="6">
      <x:c r="A6" s="54" t="str">
        <x:v>Investice</x:v>
      </x:c>
      <x:c r="B6" s="54" t="str">
        <x:v>Cena stavby po rezervě</x:v>
      </x:c>
      <x:c r="C6" s="54" t="str">
        <x:v>mil. Kč</x:v>
      </x:c>
      <x:c r="D6" s="214" t="n">
        <x:f>D4*(1+D5)</x:f>
        <x:v>145.2</x:v>
      </x:c>
      <x:c r="E6" s="214" t="n">
        <x:f>E4*(1+E5)</x:f>
        <x:v>145.2</x:v>
      </x:c>
      <x:c r="F6" s="214" t="n">
        <x:f>F4*(1+F5)</x:f>
        <x:v>152.46</x:v>
      </x:c>
      <x:c r="G6" s="212" t="str">
        <x:v>Základní cena × (1 + rezerva).</x:v>
      </x:c>
      <x:c r="H6" s="212" t="str">
        <x:v>výpočet</x:v>
      </x:c>
    </x:row>
    <x:row r="7">
      <x:c r="A7" s="56" t="str">
        <x:v>Financování</x:v>
      </x:c>
      <x:c r="B7" s="56" t="str">
        <x:v>Vlastní zdroje obce na stavbu</x:v>
      </x:c>
      <x:c r="C7" s="56" t="str">
        <x:v>mil. Kč</x:v>
      </x:c>
      <x:c r="D7" s="211" t="n">
        <x:v>85.1</x:v>
      </x:c>
      <x:c r="E7" s="211" t="n">
        <x:v>85.1</x:v>
      </x:c>
      <x:c r="F7" s="211" t="n">
        <x:v>85.1</x:v>
      </x:c>
      <x:c r="G7" s="212" t="str">
        <x:v>Podklad obce: termínovaný vklad 20,5 + rozpočet 2026 50 + plán investic 2027/28 6,9 + 7,7 mil. Kč.</x:v>
      </x:c>
      <x:c r="H7" s="212" t="str">
        <x:v>dodaný podklad obce</x:v>
      </x:c>
    </x:row>
    <x:row r="8">
      <x:c r="A8" s="56" t="str">
        <x:v>Financování</x:v>
      </x:c>
      <x:c r="B8" s="56" t="str">
        <x:v>Dotace na stavbu</x:v>
      </x:c>
      <x:c r="C8" s="56" t="str">
        <x:v>mil. Kč</x:v>
      </x:c>
      <x:c r="D8" s="211" t="n">
        <x:v>30</x:v>
      </x:c>
      <x:c r="E8" s="211" t="n">
        <x:v>0</x:v>
      </x:c>
      <x:c r="F8" s="211" t="n">
        <x:v>0</x:v>
      </x:c>
      <x:c r="G8" s="212" t="str">
        <x:v>Podklad obce uvádí 10 mil. Středočeský kraj + 20 mil. MMR. BEST předpokládá obě, NORMAL/WORST žádnou.</x:v>
      </x:c>
      <x:c r="H8" s="212" t="str">
        <x:v>dodaný podklad obce</x:v>
      </x:c>
    </x:row>
    <x:row r="9">
      <x:c r="A9" s="56" t="str">
        <x:v>Financování</x:v>
      </x:c>
      <x:c r="B9" s="56" t="str">
        <x:v>Potřebný úvěr na stavbu</x:v>
      </x:c>
      <x:c r="C9" s="56" t="str">
        <x:v>mil. Kč</x:v>
      </x:c>
      <x:c r="D9" s="214" t="n">
        <x:f>D6-D7-D8</x:f>
        <x:v>30.099999999999994</x:v>
      </x:c>
      <x:c r="E9" s="214" t="n">
        <x:f>E6-E7-E8</x:f>
        <x:v>60.099999999999994</x:v>
      </x:c>
      <x:c r="F9" s="214" t="n">
        <x:f>F6-F7-F8</x:f>
        <x:v>67.36000000000001</x:v>
      </x:c>
      <x:c r="G9" s="212" t="str">
        <x:v>Cena stavby po rezervě − vlastní zdroje − dotace.</x:v>
      </x:c>
      <x:c r="H9" s="212" t="str">
        <x:v>výpočet</x:v>
      </x:c>
    </x:row>
    <x:row r="10">
      <x:c r="A10" s="56" t="str">
        <x:v>Financování</x:v>
      </x:c>
      <x:c r="B10" s="56" t="str">
        <x:v>Doba splatnosti úvěru</x:v>
      </x:c>
      <x:c r="C10" s="56" t="str">
        <x:v>let</x:v>
      </x:c>
      <x:c r="D10" s="215" t="n">
        <x:v>15</x:v>
      </x:c>
      <x:c r="E10" s="215" t="n">
        <x:v>15</x:v>
      </x:c>
      <x:c r="F10" s="215" t="n">
        <x:v>15</x:v>
      </x:c>
      <x:c r="G10" s="212" t="str">
        <x:v>Modelový horizont. Po bankovní nabídce nahradit skutečností.</x:v>
      </x:c>
      <x:c r="H10" s="212" t="str">
        <x:v>modelový vstup</x:v>
      </x:c>
    </x:row>
    <x:row r="11">
      <x:c r="A11" s="56" t="str">
        <x:v>Financování</x:v>
      </x:c>
      <x:c r="B11" s="56" t="str">
        <x:v>Úroková sazba</x:v>
      </x:c>
      <x:c r="C11" s="56" t="str">
        <x:v>p.a.</x:v>
      </x:c>
      <x:c r="D11" s="213" t="n">
        <x:v>0.05</x:v>
      </x:c>
      <x:c r="E11" s="213" t="n">
        <x:v>0.06</x:v>
      </x:c>
      <x:c r="F11" s="213" t="n">
        <x:v>0.07</x:v>
      </x:c>
      <x:c r="G11" s="212" t="str">
        <x:v>Modelový stres. Podklad obce zatím obsahuje pouze PRIBOR a větu „návrh úvěrového rámce dodáme“.</x:v>
      </x:c>
      <x:c r="H11" s="212" t="str">
        <x:v>dodaný podklad + model</x:v>
      </x:c>
    </x:row>
    <x:row r="12">
      <x:c r="A12" s="54" t="str">
        <x:v>Investice</x:v>
      </x:c>
      <x:c r="B12" s="54" t="str">
        <x:v>Vybavení školy</x:v>
      </x:c>
      <x:c r="C12" s="54" t="str">
        <x:v>mil. Kč</x:v>
      </x:c>
      <x:c r="D12" s="211" t="n">
        <x:v>2</x:v>
      </x:c>
      <x:c r="E12" s="211" t="n">
        <x:v>3</x:v>
      </x:c>
      <x:c r="F12" s="211" t="n">
        <x:v>4</x:v>
      </x:c>
      <x:c r="G12" s="212" t="str">
        <x:v>Podklad obce uvádí rozmezí 2–4 mil. Kč.</x:v>
      </x:c>
      <x:c r="H12" s="212" t="str">
        <x:v>dodaný podklad obce</x:v>
      </x:c>
    </x:row>
    <x:row r="13">
      <x:c r="A13" s="58" t="str">
        <x:v>Provoz</x:v>
      </x:c>
      <x:c r="B13" s="58" t="str">
        <x:v>Nepedagogičtí zaměstnanci – plný rok</x:v>
      </x:c>
      <x:c r="C13" s="58" t="str">
        <x:v>mil. Kč</x:v>
      </x:c>
      <x:c r="D13" s="211" t="n">
        <x:v>1</x:v>
      </x:c>
      <x:c r="E13" s="211" t="n">
        <x:v>1.08</x:v>
      </x:c>
      <x:c r="F13" s="211" t="n">
        <x:v>1.2</x:v>
      </x:c>
      <x:c r="G13" s="212" t="str">
        <x:v>Podklad obce: 1–2 uklízečky + 1 kuchařka; 840 tis. až max. 1,08 mil. Kč, ve shrnutí cca 1 mil. Kč. WORST přidává rezervu.</x:v>
      </x:c>
      <x:c r="H13" s="212" t="str">
        <x:v>dodaný podklad + model</x:v>
      </x:c>
    </x:row>
    <x:row r="14">
      <x:c r="A14" s="58" t="str">
        <x:v>Provoz</x:v>
      </x:c>
      <x:c r="B14" s="58" t="str">
        <x:v>Energie a média – plný rok</x:v>
      </x:c>
      <x:c r="C14" s="58" t="str">
        <x:v>mil. Kč</x:v>
      </x:c>
      <x:c r="D14" s="211" t="n">
        <x:v>1.2</x:v>
      </x:c>
      <x:c r="E14" s="211" t="n">
        <x:v>1.5</x:v>
      </x:c>
      <x:c r="F14" s="211" t="n">
        <x:v>2</x:v>
      </x:c>
      <x:c r="G14" s="212" t="str">
        <x:v>Rozpad obecního odhadu „provoz do 3 mil. Kč“ je modelový; obec výpočet energií a technologií dosud nedodala.</x:v>
      </x:c>
      <x:c r="H14" s="212" t="str">
        <x:v>dodaný podklad + model</x:v>
      </x:c>
    </x:row>
    <x:row r="15">
      <x:c r="A15" s="58" t="str">
        <x:v>Provoz</x:v>
      </x:c>
      <x:c r="B15" s="58" t="str">
        <x:v>Servis technologií a revize – plný rok</x:v>
      </x:c>
      <x:c r="C15" s="58" t="str">
        <x:v>mil. Kč</x:v>
      </x:c>
      <x:c r="D15" s="211" t="n">
        <x:v>0.4</x:v>
      </x:c>
      <x:c r="E15" s="211" t="n">
        <x:v>0.7</x:v>
      </x:c>
      <x:c r="F15" s="211" t="n">
        <x:v>1.1</x:v>
      </x:c>
      <x:c r="G15" s="212" t="str">
        <x:v>V podkladu obce není samostatně vyčíslen servis technologií; scénáře jsou modelové.</x:v>
      </x:c>
      <x:c r="H15" s="212" t="str">
        <x:v>modelový vstup</x:v>
      </x:c>
    </x:row>
    <x:row r="16">
      <x:c r="A16" s="58" t="str">
        <x:v>Provoz</x:v>
      </x:c>
      <x:c r="B16" s="58" t="str">
        <x:v>Ostatní provoz – plný rok</x:v>
      </x:c>
      <x:c r="C16" s="58" t="str">
        <x:v>mil. Kč</x:v>
      </x:c>
      <x:c r="D16" s="211" t="n">
        <x:v>0.5</x:v>
      </x:c>
      <x:c r="E16" s="211" t="n">
        <x:v>0.8</x:v>
      </x:c>
      <x:c r="F16" s="211" t="n">
        <x:v>1</x:v>
      </x:c>
      <x:c r="G16" s="212" t="str">
        <x:v>Pojištění, IT, spotřební materiál, úklidový materiál apod. Modelový rozpad.</x:v>
      </x:c>
      <x:c r="H16" s="212" t="str">
        <x:v>modelový vstup</x:v>
      </x:c>
    </x:row>
    <x:row r="17">
      <x:c r="A17" s="58" t="str">
        <x:v>Provoz</x:v>
      </x:c>
      <x:c r="B17" s="58" t="str">
        <x:v>Údržba a opravy / rezerva obnovy</x:v>
      </x:c>
      <x:c r="C17" s="58" t="str">
        <x:v>% pořizovací ceny</x:v>
      </x:c>
      <x:c r="D17" s="213" t="n">
        <x:v>0.007</x:v>
      </x:c>
      <x:c r="E17" s="213" t="n">
        <x:v>0.01</x:v>
      </x:c>
      <x:c r="F17" s="213" t="n">
        <x:v>0.015</x:v>
      </x:c>
      <x:c r="G17" s="212" t="str">
        <x:v>ČKAIT uvádí obvykle cca 1 % pořizovací ceny budovy ročně. BEST/WORST jsou citlivostní odchylky od benchmarku.</x:v>
      </x:c>
      <x:c r="H17" s="212" t="str">
        <x:v>https://profesis.ckait.cz/dokumenty-ckait/ps-10-6/</x:v>
      </x:c>
    </x:row>
    <x:row r="18">
      <x:c r="A18" s="58" t="str">
        <x:v>Provoz</x:v>
      </x:c>
      <x:c r="B18" s="58" t="str">
        <x:v>Roční růst provozních nákladů</x:v>
      </x:c>
      <x:c r="C18" s="58" t="str">
        <x:v>%</x:v>
      </x:c>
      <x:c r="D18" s="213" t="n">
        <x:v>0.02</x:v>
      </x:c>
      <x:c r="E18" s="213" t="n">
        <x:v>0.03</x:v>
      </x:c>
      <x:c r="F18" s="213" t="n">
        <x:v>0.04</x:v>
      </x:c>
      <x:c r="G18" s="212" t="str">
        <x:v>Modelová inflace/růst mezd a servisů; nahradit dlouhodobými předpoklady obce.</x:v>
      </x:c>
      <x:c r="H18" s="212" t="str">
        <x:v>modelový vstup</x:v>
      </x:c>
    </x:row>
    <x:row r="19">
      <x:c r="A19" s="60" t="str">
        <x:v>Žáci/RUD</x:v>
      </x:c>
      <x:c r="B19" s="60" t="str">
        <x:v>Návštěvnost místní ZŠ po otevření II. stupně</x:v>
      </x:c>
      <x:c r="C19" s="60" t="str">
        <x:v>%</x:v>
      </x:c>
      <x:c r="D19" s="213" t="n">
        <x:v>1</x:v>
      </x:c>
      <x:c r="E19" s="213" t="n">
        <x:v>0.8</x:v>
      </x:c>
      <x:c r="F19" s="213" t="n">
        <x:v>0.69</x:v>
      </x:c>
      <x:c r="G19" s="212" t="str">
        <x:v>Studie: nyní cca 75 % na 1. stupni a 69 % u 1. třídy; po otevření II. stupně může růst, ale studie neví o kolik.</x:v>
      </x:c>
      <x:c r="H19" s="212" t="str">
        <x:v>https://www.libis.cz/data/files/vs-demograficka-studie-libis-28-2-25.pdf</x:v>
      </x:c>
    </x:row>
    <x:row r="20">
      <x:c r="A20" s="60" t="str">
        <x:v>Žáci/RUD</x:v>
      </x:c>
      <x:c r="B20" s="60" t="str">
        <x:v>Modelově použitelná část RUD na žáka</x:v>
      </x:c>
      <x:c r="C20" s="60" t="str">
        <x:v>tis. Kč/žák</x:v>
      </x:c>
      <x:c r="D20" s="216" t="n">
        <x:v>20</x:v>
      </x:c>
      <x:c r="E20" s="216" t="n">
        <x:v>20</x:v>
      </x:c>
      <x:c r="F20" s="216" t="n">
        <x:v>20</x:v>
      </x:c>
      <x:c r="G20" s="212" t="str">
        <x:v>Obec ve svém podkladu pro jednoduchou kalkulaci používá cca 20 tis. Kč × počet žáků. MF 2026 uvádí předběžně 36,786 tis. Kč na přepočteného žáka, což není totéž co fyzický počet žáků.</x:v>
      </x:c>
      <x:c r="H20" s="212" t="str">
        <x:v>https://mf.gov.cz/cs/rozpoctova-politika/uzemni-rozpocty/hospodareni-uzemnich-rozpoctu/financovani-materskych-a-zakladnich-skol/2026/informace-o-vysi-prostredku-ktere-obce-a-kraje-zis-62870</x:v>
      </x:c>
    </x:row>
    <x:row r="21">
      <x:c r="A21" s="60" t="str">
        <x:v>Žáci/RUD</x:v>
      </x:c>
      <x:c r="B21" s="60" t="str">
        <x:v>Roční růst modelované RUD/žák</x:v>
      </x:c>
      <x:c r="C21" s="60" t="str">
        <x:v>%</x:v>
      </x:c>
      <x:c r="D21" s="213" t="n">
        <x:v>0.02</x:v>
      </x:c>
      <x:c r="E21" s="213" t="n">
        <x:v>0.015</x:v>
      </x:c>
      <x:c r="F21" s="213" t="n">
        <x:v>0</x:v>
      </x:c>
      <x:c r="G21" s="212" t="str">
        <x:v>Citlivostní předpoklad; MF výslovně uvádí, že údaj 2026 je předběžný a závisí na inkasu daní.</x:v>
      </x:c>
      <x:c r="H21" s="212" t="str">
        <x:v>https://mf.gov.cz/cs/rozpoctova-politika/uzemni-rozpocty/hospodareni-uzemnich-rozpoctu/financovani-materskych-a-zakladnich-skol/2026/informace-o-vysi-prostredku-ktere-obce-a-kraje-zis-62870</x:v>
      </x:c>
    </x:row>
    <x:row r="22">
      <x:c r="A22" s="60" t="str">
        <x:v>Žáci/RUD</x:v>
      </x:c>
      <x:c r="B22" s="60" t="str">
        <x:v>Platba Neratovicím za žáka II. stupně</x:v>
      </x:c>
      <x:c r="C22" s="60" t="str">
        <x:v>tis. Kč/žák</x:v>
      </x:c>
      <x:c r="D22" s="216" t="n">
        <x:v>8</x:v>
      </x:c>
      <x:c r="E22" s="216" t="n">
        <x:v>8</x:v>
      </x:c>
      <x:c r="F22" s="216" t="n">
        <x:v>8</x:v>
      </x:c>
      <x:c r="G22" s="212" t="str">
        <x:v>Podklad obce: 8 tis. Kč/žák/rok; 2026 67 žáků = 536 tis. Kč.</x:v>
      </x:c>
      <x:c r="H22" s="212" t="str">
        <x:v>dodaný podklad obce</x:v>
      </x:c>
    </x:row>
    <x:row r="23">
      <x:c r="A23" s="60" t="str">
        <x:v>Žáci/RUD</x:v>
      </x:c>
      <x:c r="B23" s="60" t="str">
        <x:v>Max. dnešní úspora plateb Neratovicím</x:v>
      </x:c>
      <x:c r="C23" s="60" t="str">
        <x:v>mil. Kč/rok</x:v>
      </x:c>
      <x:c r="D23" s="211" t="n">
        <x:v>0.536</x:v>
      </x:c>
      <x:c r="E23" s="211" t="n">
        <x:v>0.536</x:v>
      </x:c>
      <x:c r="F23" s="211" t="n">
        <x:v>0.536</x:v>
      </x:c>
      <x:c r="G23" s="212" t="str">
        <x:v>Podklad obce: rok 2026 67 žáků × 8 tis. = 536 tis. Kč.</x:v>
      </x:c>
      <x:c r="H23" s="212" t="str">
        <x:v>dodaný podklad obce</x:v>
      </x:c>
    </x:row>
    <x:row r="24">
      <x:c r="A24" s="62" t="str">
        <x:v>Obec</x:v>
      </x:c>
      <x:c r="B24" s="62" t="str">
        <x:v>Výchozí roční investiční kapacita od 2027</x:v>
      </x:c>
      <x:c r="C24" s="62" t="str">
        <x:v>mil. Kč/rok</x:v>
      </x:c>
      <x:c r="D24" s="211" t="n">
        <x:v>7</x:v>
      </x:c>
      <x:c r="E24" s="211" t="n">
        <x:v>7</x:v>
      </x:c>
      <x:c r="F24" s="211" t="n">
        <x:v>7</x:v>
      </x:c>
      <x:c r="G24" s="212" t="str">
        <x:v>Zaokrouhleno z podkladu obce: plán investic 2027 6,94 mil. a 2028 7,744 mil. Kč.</x:v>
      </x:c>
      <x:c r="H24" s="212" t="str">
        <x:v>dodaný podklad obce</x:v>
      </x:c>
    </x:row>
    <x:row r="25">
      <x:c r="A25" s="62" t="str">
        <x:v>Obec</x:v>
      </x:c>
      <x:c r="B25" s="62" t="str">
        <x:v>Další nové opakované závazky (SNS + max. Securitas)</x:v>
      </x:c>
      <x:c r="C25" s="62" t="str">
        <x:v>mil. Kč/rok</x:v>
      </x:c>
      <x:c r="D25" s="211" t="n">
        <x:v>0.72</x:v>
      </x:c>
      <x:c r="E25" s="211" t="n">
        <x:v>0.72</x:v>
      </x:c>
      <x:c r="F25" s="211" t="n">
        <x:v>0.72</x:v>
      </x:c>
      <x:c r="G25" s="212" t="str">
        <x:v>SNS 216 tis./rok + Securitas max. 504 tis./rok podle podkladů/poznámek z rady. Před rozesláním lze nahradit přesnými smluvními částkami.</x:v>
      </x:c>
      <x:c r="H25" s="212" t="str">
        <x:v>zápisy/poznámky z rady – ověřit</x:v>
      </x:c>
    </x:row>
    <x:row r="26">
      <x:c r="A26" s="62" t="str">
        <x:v>Obec</x:v>
      </x:c>
      <x:c r="B26" s="62" t="str">
        <x:v>Technické služby – modelovaný investiční záměr</x:v>
      </x:c>
      <x:c r="C26" s="62" t="str">
        <x:v>mil. Kč celkem</x:v>
      </x:c>
      <x:c r="D26" s="211" t="n">
        <x:v>15</x:v>
      </x:c>
      <x:c r="E26" s="211" t="n">
        <x:v>15</x:v>
      </x:c>
      <x:c r="F26" s="211" t="n">
        <x:v>15</x:v>
      </x:c>
      <x:c r="G26" s="212" t="str">
        <x:v>Pracovní vstup dle informace zastupitele; časování 7,5 + 7,5 mil. v 2027–2028 je pouze modelové.</x:v>
      </x:c>
      <x:c r="H26" s="212" t="str">
        <x:v>pracovní vstup – ověřit</x:v>
      </x:c>
    </x:row>
    <x:row r="27">
      <x:c r="A27" s="62" t="str">
        <x:v>Obec</x:v>
      </x:c>
      <x:c r="B27" s="62" t="str">
        <x:v>Hřiště – spoluúčast 2027</x:v>
      </x:c>
      <x:c r="C27" s="62" t="str">
        <x:v>mil. Kč</x:v>
      </x:c>
      <x:c r="D27" s="211" t="n">
        <x:v>1.75</x:v>
      </x:c>
      <x:c r="E27" s="211" t="n">
        <x:v>1.75</x:v>
      </x:c>
      <x:c r="F27" s="211" t="n">
        <x:v>1.75</x:v>
      </x:c>
      <x:c r="G27" s="212" t="str">
        <x:v>Podklad pro ZO: předpokládaný náklad 8,75 mil., obvyklá spoluúčast 20 %, tedy 1,75 mil. Kč.</x:v>
      </x:c>
      <x:c r="H27" s="212" t="str">
        <x:v>žádost TJ Sokol – podklad ZO 16. 9. 2026</x:v>
      </x:c>
    </x:row>
    <x:row r="28">
      <x:c r="A28" s="64" t="str">
        <x:v>Obec</x:v>
      </x:c>
      <x:c r="B28" s="64" t="str">
        <x:v>Modelový dodatečný opakovaný příjem / úspora</x:v>
      </x:c>
      <x:c r="C28" s="64" t="str">
        <x:v>mil. Kč/rok</x:v>
      </x:c>
      <x:c r="D28" s="217" t="n">
        <x:v>3</x:v>
      </x:c>
      <x:c r="E28" s="217" t="n">
        <x:v>3</x:v>
      </x:c>
      <x:c r="F28" s="217" t="n">
        <x:v>3</x:v>
      </x:c>
      <x:c r="G28" s="218" t="str">
        <x:v>Ilustrační varianta pro citlivost (např. vyšší příjmy / trvalé snížení běžných výdajů). Nejde o návrh konkrétní daně.</x:v>
      </x:c>
      <x:c r="H28" s="218" t="str">
        <x:v>modelový vstup</x:v>
      </x:c>
    </x:row>
  </x:sheetData>
  <x:mergeCells>
    <x:mergeCell ref="A1:H1"/>
  </x:mergeCells>
  <x:pageMargins left="0.7" right="0.7" top="0.75" bottom="0.75" header="0.3" footer="0.3"/>
</x:worksheet>
</file>

<file path=xl/worksheets/sheet3.xml><?xml version="1.0" encoding="utf-8"?>
<x:worksheet xmlns:x="http://schemas.openxmlformats.org/spreadsheetml/2006/main">
  <x:sheetFormatPr defaultRowHeight="15"/>
  <x:cols>
    <x:col min="1" max="1" width="9" hidden="0" customWidth="1"/>
    <x:col min="2" max="2" width="16" hidden="0" customWidth="1"/>
    <x:col min="3" max="3" width="30"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s>
  <x:sheetData>
    <x:row r="1" ht="28" customHeight="1">
      <x:c r="A1" s="26" t="str">
        <x:v>Demografie, náběh II. stupně a modelované kompenzace</x:v>
      </x:c>
      <x:c r="B1" s="26"/>
      <x:c r="C1" s="26"/>
      <x:c r="D1" s="26"/>
      <x:c r="E1" s="26"/>
      <x:c r="F1" s="26"/>
      <x:c r="G1" s="26"/>
      <x:c r="H1" s="26"/>
      <x:c r="I1" s="26"/>
      <x:c r="J1" s="26"/>
      <x:c r="K1" s="26"/>
      <x:c r="L1" s="26"/>
      <x:c r="M1" s="26"/>
      <x:c r="N1" s="26"/>
    </x:row>
    <x:row r="3">
      <x:c r="A3" s="30" t="str">
        <x:v>Rok</x:v>
      </x:c>
      <x:c r="B3" s="30" t="str">
        <x:v>Děti 11–14 v Libiši</x:v>
      </x:c>
      <x:c r="C3" s="30" t="str">
        <x:v>Stav / zdroj</x:v>
      </x:c>
      <x:c r="D3" s="30" t="str">
        <x:v>Náběh ročníků</x:v>
      </x:c>
      <x:c r="E3" s="30" t="str">
        <x:v>Návštěvnost BEST</x:v>
      </x:c>
      <x:c r="F3" s="30" t="str">
        <x:v>Žáci BEST</x:v>
      </x:c>
      <x:c r="G3" s="30" t="str">
        <x:v>RUD BEST</x:v>
      </x:c>
      <x:c r="H3" s="30" t="str">
        <x:v>Úspora Nera BEST</x:v>
      </x:c>
      <x:c r="I3" s="30" t="str">
        <x:v>Návštěvnost NORMAL</x:v>
      </x:c>
      <x:c r="J3" s="30" t="str">
        <x:v>Žáci NORMAL</x:v>
      </x:c>
      <x:c r="K3" s="30" t="str">
        <x:v>RUD NORMAL</x:v>
      </x:c>
      <x:c r="L3" s="30" t="str">
        <x:v>Úspora Nera NORMAL</x:v>
      </x:c>
      <x:c r="M3" s="30" t="str">
        <x:v>Návštěvnost WORST</x:v>
      </x:c>
      <x:c r="N3" s="30" t="str">
        <x:v>Žáci WORST</x:v>
      </x:c>
      <x:c r="O3" s="30" t="str">
        <x:v>RUD WORST</x:v>
      </x:c>
      <x:c r="P3" s="30" t="str">
        <x:v>Úspora Nera WORST</x:v>
      </x:c>
    </x:row>
    <x:row r="4">
      <x:c r="A4" s="76" t="n">
        <x:v>2026</x:v>
      </x:c>
      <x:c r="B4" s="76"/>
      <x:c r="C4" s="14" t="str">
        <x:v>před otevřením</x:v>
      </x:c>
      <x:c r="D4" s="70" t="n">
        <x:v>0</x:v>
      </x:c>
      <x:c r="E4" s="70" t="n">
        <x:v>0</x:v>
      </x:c>
      <x:c r="F4" s="74" t="n">
        <x:v>0</x:v>
      </x:c>
      <x:c r="G4" s="72" t="n">
        <x:v>0</x:v>
      </x:c>
      <x:c r="H4" s="72" t="n">
        <x:v>0</x:v>
      </x:c>
      <x:c r="I4" s="70" t="n">
        <x:v>0</x:v>
      </x:c>
      <x:c r="J4" s="74" t="n">
        <x:v>0</x:v>
      </x:c>
      <x:c r="K4" s="72" t="n">
        <x:v>0</x:v>
      </x:c>
      <x:c r="L4" s="72" t="n">
        <x:v>0</x:v>
      </x:c>
      <x:c r="M4" s="70" t="n">
        <x:v>0</x:v>
      </x:c>
      <x:c r="N4" s="74" t="n">
        <x:v>0</x:v>
      </x:c>
      <x:c r="O4" s="72" t="n">
        <x:v>0</x:v>
      </x:c>
      <x:c r="P4" s="72" t="n">
        <x:v>0</x:v>
      </x:c>
    </x:row>
    <x:row r="5">
      <x:c r="A5" s="76" t="n">
        <x:v>2027</x:v>
      </x:c>
      <x:c r="B5" s="76"/>
      <x:c r="C5" s="14" t="str">
        <x:v>před otevřením</x:v>
      </x:c>
      <x:c r="D5" s="70" t="n">
        <x:v>0</x:v>
      </x:c>
      <x:c r="E5" s="70" t="n">
        <x:v>0</x:v>
      </x:c>
      <x:c r="F5" s="74" t="n">
        <x:v>0</x:v>
      </x:c>
      <x:c r="G5" s="72" t="n">
        <x:v>0</x:v>
      </x:c>
      <x:c r="H5" s="72" t="n">
        <x:v>0</x:v>
      </x:c>
      <x:c r="I5" s="70" t="n">
        <x:v>0</x:v>
      </x:c>
      <x:c r="J5" s="74" t="n">
        <x:v>0</x:v>
      </x:c>
      <x:c r="K5" s="72" t="n">
        <x:v>0</x:v>
      </x:c>
      <x:c r="L5" s="72" t="n">
        <x:v>0</x:v>
      </x:c>
      <x:c r="M5" s="70" t="n">
        <x:v>0</x:v>
      </x:c>
      <x:c r="N5" s="74" t="n">
        <x:v>0</x:v>
      </x:c>
      <x:c r="O5" s="72" t="n">
        <x:v>0</x:v>
      </x:c>
      <x:c r="P5" s="72" t="n">
        <x:v>0</x:v>
      </x:c>
    </x:row>
    <x:row r="6">
      <x:c r="A6" s="76" t="n">
        <x:v>2028</x:v>
      </x:c>
      <x:c r="B6" s="76"/>
      <x:c r="C6" s="14" t="str">
        <x:v>před otevřením</x:v>
      </x:c>
      <x:c r="D6" s="70" t="n">
        <x:v>0</x:v>
      </x:c>
      <x:c r="E6" s="70" t="n">
        <x:v>0</x:v>
      </x:c>
      <x:c r="F6" s="74" t="n">
        <x:v>0</x:v>
      </x:c>
      <x:c r="G6" s="72" t="n">
        <x:v>0</x:v>
      </x:c>
      <x:c r="H6" s="72" t="n">
        <x:v>0</x:v>
      </x:c>
      <x:c r="I6" s="70" t="n">
        <x:v>0</x:v>
      </x:c>
      <x:c r="J6" s="74" t="n">
        <x:v>0</x:v>
      </x:c>
      <x:c r="K6" s="72" t="n">
        <x:v>0</x:v>
      </x:c>
      <x:c r="L6" s="72" t="n">
        <x:v>0</x:v>
      </x:c>
      <x:c r="M6" s="70" t="n">
        <x:v>0</x:v>
      </x:c>
      <x:c r="N6" s="74" t="n">
        <x:v>0</x:v>
      </x:c>
      <x:c r="O6" s="72" t="n">
        <x:v>0</x:v>
      </x:c>
      <x:c r="P6" s="72" t="n">
        <x:v>0</x:v>
      </x:c>
    </x:row>
    <x:row r="7">
      <x:c r="A7" s="76" t="n">
        <x:v>2029</x:v>
      </x:c>
      <x:c r="B7" s="76" t="n">
        <x:v>145</x:v>
      </x:c>
      <x:c r="C7" s="14" t="str">
        <x:v>modelová interpolace před kotvou</x:v>
      </x:c>
      <x:c r="D7" s="70" t="n">
        <x:v>0.25</x:v>
      </x:c>
      <x:c r="E7" s="70" t="n">
        <x:f>'Předpoklady'!D19</x:f>
        <x:v>1</x:v>
      </x:c>
      <x:c r="F7" s="74" t="n">
        <x:f>B7*D7*E7</x:f>
        <x:v>36.25</x:v>
      </x:c>
      <x:c r="G7" s="72" t="n">
        <x:f>F7*'Předpoklady'!D20/1000*(1+'Předpoklady'!D21)^(A7-2029)</x:f>
        <x:v>0.725</x:v>
      </x:c>
      <x:c r="H7" s="72" t="n">
        <x:f>MIN('Předpoklady'!D23,F7*'Předpoklady'!D22/1000)</x:f>
        <x:v>0.29</x:v>
      </x:c>
      <x:c r="I7" s="70" t="n">
        <x:f>'Předpoklady'!E19</x:f>
        <x:v>0.8</x:v>
      </x:c>
      <x:c r="J7" s="74" t="n">
        <x:f>B7*D7*I7</x:f>
        <x:v>29</x:v>
      </x:c>
      <x:c r="K7" s="72" t="n">
        <x:f>J7*'Předpoklady'!E20/1000*(1+'Předpoklady'!E21)^(A7-2029)</x:f>
        <x:v>0.58</x:v>
      </x:c>
      <x:c r="L7" s="72" t="n">
        <x:f>MIN('Předpoklady'!E23,J7*'Předpoklady'!E22/1000)</x:f>
        <x:v>0.232</x:v>
      </x:c>
      <x:c r="M7" s="70" t="n">
        <x:f>'Předpoklady'!F19</x:f>
        <x:v>0.69</x:v>
      </x:c>
      <x:c r="N7" s="74" t="n">
        <x:f>B7*D7*M7</x:f>
        <x:v>25.0125</x:v>
      </x:c>
      <x:c r="O7" s="72" t="n">
        <x:f>N7*'Předpoklady'!F20/1000*(1+'Předpoklady'!F21)^(A7-2029)</x:f>
        <x:v>0.50025</x:v>
      </x:c>
      <x:c r="P7" s="72" t="n">
        <x:f>MIN('Předpoklady'!F23,N7*'Předpoklady'!F22/1000)</x:f>
        <x:v>0.2001</x:v>
      </x:c>
    </x:row>
    <x:row r="8">
      <x:c r="A8" s="76" t="n">
        <x:v>2030</x:v>
      </x:c>
      <x:c r="B8" s="76" t="n">
        <x:v>150</x:v>
      </x:c>
      <x:c r="C8" s="14" t="str">
        <x:v>studie: cca 150</x:v>
      </x:c>
      <x:c r="D8" s="70" t="n">
        <x:v>0.5</x:v>
      </x:c>
      <x:c r="E8" s="70" t="n">
        <x:f>'Předpoklady'!D19</x:f>
        <x:v>1</x:v>
      </x:c>
      <x:c r="F8" s="74" t="n">
        <x:f>B8*D8*E8</x:f>
        <x:v>75</x:v>
      </x:c>
      <x:c r="G8" s="72" t="n">
        <x:f>F8*'Předpoklady'!D20/1000*(1+'Předpoklady'!D21)^(A8-2029)</x:f>
        <x:v>1.53</x:v>
      </x:c>
      <x:c r="H8" s="72" t="n">
        <x:f>MIN('Předpoklady'!D23,F8*'Předpoklady'!D22/1000)</x:f>
        <x:v>0.536</x:v>
      </x:c>
      <x:c r="I8" s="70" t="n">
        <x:f>'Předpoklady'!E19</x:f>
        <x:v>0.8</x:v>
      </x:c>
      <x:c r="J8" s="74" t="n">
        <x:f>B8*D8*I8</x:f>
        <x:v>60</x:v>
      </x:c>
      <x:c r="K8" s="72" t="n">
        <x:f>J8*'Předpoklady'!E20/1000*(1+'Předpoklady'!E21)^(A8-2029)</x:f>
        <x:v>1.2179999999999997</x:v>
      </x:c>
      <x:c r="L8" s="72" t="n">
        <x:f>MIN('Předpoklady'!E23,J8*'Předpoklady'!E22/1000)</x:f>
        <x:v>0.48</x:v>
      </x:c>
      <x:c r="M8" s="70" t="n">
        <x:f>'Předpoklady'!F19</x:f>
        <x:v>0.69</x:v>
      </x:c>
      <x:c r="N8" s="74" t="n">
        <x:f>B8*D8*M8</x:f>
        <x:v>51.74999999999999</x:v>
      </x:c>
      <x:c r="O8" s="72" t="n">
        <x:f>N8*'Předpoklady'!F20/1000*(1+'Předpoklady'!F21)^(A8-2029)</x:f>
        <x:v>1.0349999999999997</x:v>
      </x:c>
      <x:c r="P8" s="72" t="n">
        <x:f>MIN('Předpoklady'!F23,N8*'Předpoklady'!F22/1000)</x:f>
        <x:v>0.4139999999999999</x:v>
      </x:c>
    </x:row>
    <x:row r="9">
      <x:c r="A9" s="76" t="n">
        <x:v>2031</x:v>
      </x:c>
      <x:c r="B9" s="76" t="n">
        <x:v>147</x:v>
      </x:c>
      <x:c r="C9" s="14" t="str">
        <x:v>modelová lineární interpolace</x:v>
      </x:c>
      <x:c r="D9" s="70" t="n">
        <x:v>0.75</x:v>
      </x:c>
      <x:c r="E9" s="70" t="n">
        <x:f>'Předpoklady'!D19</x:f>
        <x:v>1</x:v>
      </x:c>
      <x:c r="F9" s="74" t="n">
        <x:f>B9*D9*E9</x:f>
        <x:v>110.25</x:v>
      </x:c>
      <x:c r="G9" s="72" t="n">
        <x:f>F9*'Předpoklady'!D20/1000*(1+'Předpoklady'!D21)^(A9-2029)</x:f>
        <x:v>2.294082</x:v>
      </x:c>
      <x:c r="H9" s="72" t="n">
        <x:f>MIN('Předpoklady'!D23,F9*'Předpoklady'!D22/1000)</x:f>
        <x:v>0.536</x:v>
      </x:c>
      <x:c r="I9" s="70" t="n">
        <x:f>'Předpoklady'!E19</x:f>
        <x:v>0.8</x:v>
      </x:c>
      <x:c r="J9" s="74" t="n">
        <x:f>B9*D9*I9</x:f>
        <x:v>88.2</x:v>
      </x:c>
      <x:c r="K9" s="72" t="n">
        <x:f>J9*'Předpoklady'!E20/1000*(1+'Předpoklady'!E21)^(A9-2029)</x:f>
        <x:v>1.8173168999999996</x:v>
      </x:c>
      <x:c r="L9" s="72" t="n">
        <x:f>MIN('Předpoklady'!E23,J9*'Předpoklady'!E22/1000)</x:f>
        <x:v>0.536</x:v>
      </x:c>
      <x:c r="M9" s="70" t="n">
        <x:f>'Předpoklady'!F19</x:f>
        <x:v>0.69</x:v>
      </x:c>
      <x:c r="N9" s="74" t="n">
        <x:f>B9*D9*M9</x:f>
        <x:v>76.07249999999999</x:v>
      </x:c>
      <x:c r="O9" s="72" t="n">
        <x:f>N9*'Předpoklady'!F20/1000*(1+'Předpoklady'!F21)^(A9-2029)</x:f>
        <x:v>1.5214499999999997</x:v>
      </x:c>
      <x:c r="P9" s="72" t="n">
        <x:f>MIN('Předpoklady'!F23,N9*'Předpoklady'!F22/1000)</x:f>
        <x:v>0.536</x:v>
      </x:c>
    </x:row>
    <x:row r="10">
      <x:c r="A10" s="76" t="n">
        <x:v>2032</x:v>
      </x:c>
      <x:c r="B10" s="76" t="n">
        <x:v>144</x:v>
      </x:c>
      <x:c r="C10" s="14" t="str">
        <x:v>modelová lineární interpolace</x:v>
      </x:c>
      <x:c r="D10" s="70" t="n">
        <x:v>1</x:v>
      </x:c>
      <x:c r="E10" s="70" t="n">
        <x:f>'Předpoklady'!D19</x:f>
        <x:v>1</x:v>
      </x:c>
      <x:c r="F10" s="74" t="n">
        <x:f>B10*D10*E10</x:f>
        <x:v>144</x:v>
      </x:c>
      <x:c r="G10" s="72" t="n">
        <x:f>F10*'Předpoklady'!D20/1000*(1+'Předpoklady'!D21)^(A10-2029)</x:f>
        <x:v>3.0562790399999997</x:v>
      </x:c>
      <x:c r="H10" s="72" t="n">
        <x:f>MIN('Předpoklady'!D23,F10*'Předpoklady'!D22/1000)</x:f>
        <x:v>0.536</x:v>
      </x:c>
      <x:c r="I10" s="70" t="n">
        <x:f>'Předpoklady'!E19</x:f>
        <x:v>0.8</x:v>
      </x:c>
      <x:c r="J10" s="74" t="n">
        <x:f>B10*D10*I10</x:f>
        <x:v>115.2</x:v>
      </x:c>
      <x:c r="K10" s="72" t="n">
        <x:f>J10*'Předpoklady'!E20/1000*(1+'Předpoklady'!E21)^(A10-2029)</x:f>
        <x:v>2.409242975999999</x:v>
      </x:c>
      <x:c r="L10" s="72" t="n">
        <x:f>MIN('Předpoklady'!E23,J10*'Předpoklady'!E22/1000)</x:f>
        <x:v>0.536</x:v>
      </x:c>
      <x:c r="M10" s="70" t="n">
        <x:f>'Předpoklady'!F19</x:f>
        <x:v>0.69</x:v>
      </x:c>
      <x:c r="N10" s="74" t="n">
        <x:f>B10*D10*M10</x:f>
        <x:v>99.35999999999999</x:v>
      </x:c>
      <x:c r="O10" s="72" t="n">
        <x:f>N10*'Předpoklady'!F20/1000*(1+'Předpoklady'!F21)^(A10-2029)</x:f>
        <x:v>1.9871999999999999</x:v>
      </x:c>
      <x:c r="P10" s="72" t="n">
        <x:f>MIN('Předpoklady'!F23,N10*'Předpoklady'!F22/1000)</x:f>
        <x:v>0.536</x:v>
      </x:c>
    </x:row>
    <x:row r="11">
      <x:c r="A11" s="76" t="n">
        <x:v>2033</x:v>
      </x:c>
      <x:c r="B11" s="76" t="n">
        <x:v>141</x:v>
      </x:c>
      <x:c r="C11" s="14" t="str">
        <x:v>modelová lineární interpolace</x:v>
      </x:c>
      <x:c r="D11" s="70" t="n">
        <x:v>1</x:v>
      </x:c>
      <x:c r="E11" s="70" t="n">
        <x:f>'Předpoklady'!D19</x:f>
        <x:v>1</x:v>
      </x:c>
      <x:c r="F11" s="74" t="n">
        <x:f>B11*D11*E11</x:f>
        <x:v>141</x:v>
      </x:c>
      <x:c r="G11" s="72" t="n">
        <x:f>F11*'Předpoklady'!D20/1000*(1+'Předpoklady'!D21)^(A11-2029)</x:f>
        <x:v>3.0524586911999996</x:v>
      </x:c>
      <x:c r="H11" s="72" t="n">
        <x:f>MIN('Předpoklady'!D23,F11*'Předpoklady'!D22/1000)</x:f>
        <x:v>0.536</x:v>
      </x:c>
      <x:c r="I11" s="70" t="n">
        <x:f>'Předpoklady'!E19</x:f>
        <x:v>0.8</x:v>
      </x:c>
      <x:c r="J11" s="74" t="n">
        <x:f>B11*D11*I11</x:f>
        <x:v>112.80000000000001</x:v>
      </x:c>
      <x:c r="K11" s="72" t="n">
        <x:f>J11*'Předpoklady'!E20/1000*(1+'Předpoklady'!E21)^(A11-2029)</x:f>
        <x:v>2.3944361702099983</x:v>
      </x:c>
      <x:c r="L11" s="72" t="n">
        <x:f>MIN('Předpoklady'!E23,J11*'Předpoklady'!E22/1000)</x:f>
        <x:v>0.536</x:v>
      </x:c>
      <x:c r="M11" s="70" t="n">
        <x:f>'Předpoklady'!F19</x:f>
        <x:v>0.69</x:v>
      </x:c>
      <x:c r="N11" s="74" t="n">
        <x:f>B11*D11*M11</x:f>
        <x:v>97.28999999999999</x:v>
      </x:c>
      <x:c r="O11" s="72" t="n">
        <x:f>N11*'Předpoklady'!F20/1000*(1+'Předpoklady'!F21)^(A11-2029)</x:f>
        <x:v>1.9457999999999998</x:v>
      </x:c>
      <x:c r="P11" s="72" t="n">
        <x:f>MIN('Předpoklady'!F23,N11*'Předpoklady'!F22/1000)</x:f>
        <x:v>0.536</x:v>
      </x:c>
    </x:row>
    <x:row r="12">
      <x:c r="A12" s="76" t="n">
        <x:v>2034</x:v>
      </x:c>
      <x:c r="B12" s="76" t="n">
        <x:v>138</x:v>
      </x:c>
      <x:c r="C12" s="14" t="str">
        <x:v>modelová lineární interpolace</x:v>
      </x:c>
      <x:c r="D12" s="70" t="n">
        <x:v>1</x:v>
      </x:c>
      <x:c r="E12" s="70" t="n">
        <x:f>'Předpoklady'!D19</x:f>
        <x:v>1</x:v>
      </x:c>
      <x:c r="F12" s="74" t="n">
        <x:f>B12*D12*E12</x:f>
        <x:v>138</x:v>
      </x:c>
      <x:c r="G12" s="72" t="n">
        <x:f>F12*'Předpoklady'!D20/1000*(1+'Předpoklady'!D21)^(A12-2029)</x:f>
        <x:v>3.047263016832</x:v>
      </x:c>
      <x:c r="H12" s="72" t="n">
        <x:f>MIN('Předpoklady'!D23,F12*'Předpoklady'!D22/1000)</x:f>
        <x:v>0.536</x:v>
      </x:c>
      <x:c r="I12" s="70" t="n">
        <x:f>'Předpoklady'!E19</x:f>
        <x:v>0.8</x:v>
      </x:c>
      <x:c r="J12" s="74" t="n">
        <x:f>B12*D12*I12</x:f>
        <x:v>110.4</x:v>
      </x:c>
      <x:c r="K12" s="72" t="n">
        <x:f>J12*'Předpoklady'!E20/1000*(1+'Předpoklady'!E21)^(A12-2029)</x:f>
        <x:v>2.3786430805766985</x:v>
      </x:c>
      <x:c r="L12" s="72" t="n">
        <x:f>MIN('Předpoklady'!E23,J12*'Předpoklady'!E22/1000)</x:f>
        <x:v>0.536</x:v>
      </x:c>
      <x:c r="M12" s="70" t="n">
        <x:f>'Předpoklady'!F19</x:f>
        <x:v>0.69</x:v>
      </x:c>
      <x:c r="N12" s="74" t="n">
        <x:f>B12*D12*M12</x:f>
        <x:v>95.22</x:v>
      </x:c>
      <x:c r="O12" s="72" t="n">
        <x:f>N12*'Předpoklady'!F20/1000*(1+'Předpoklady'!F21)^(A12-2029)</x:f>
        <x:v>1.9044</x:v>
      </x:c>
      <x:c r="P12" s="72" t="n">
        <x:f>MIN('Předpoklady'!F23,N12*'Předpoklady'!F22/1000)</x:f>
        <x:v>0.536</x:v>
      </x:c>
    </x:row>
    <x:row r="13">
      <x:c r="A13" s="76" t="n">
        <x:v>2035</x:v>
      </x:c>
      <x:c r="B13" s="76" t="n">
        <x:v>135</x:v>
      </x:c>
      <x:c r="C13" s="14" t="str">
        <x:v>modelová lineární interpolace</x:v>
      </x:c>
      <x:c r="D13" s="70" t="n">
        <x:v>1</x:v>
      </x:c>
      <x:c r="E13" s="70" t="n">
        <x:f>'Předpoklady'!D19</x:f>
        <x:v>1</x:v>
      </x:c>
      <x:c r="F13" s="74" t="n">
        <x:f>B13*D13*E13</x:f>
        <x:v>135</x:v>
      </x:c>
      <x:c r="G13" s="72" t="n">
        <x:f>F13*'Předpoklady'!D20/1000*(1+'Předpoklady'!D21)^(A13-2029)</x:f>
        <x:v>3.0406385320128004</x:v>
      </x:c>
      <x:c r="H13" s="72" t="n">
        <x:f>MIN('Předpoklady'!D23,F13*'Předpoklady'!D22/1000)</x:f>
        <x:v>0.536</x:v>
      </x:c>
      <x:c r="I13" s="70" t="n">
        <x:f>'Předpoklady'!E19</x:f>
        <x:v>0.8</x:v>
      </x:c>
      <x:c r="J13" s="74" t="n">
        <x:f>B13*D13*I13</x:f>
        <x:v>108</x:v>
      </x:c>
      <x:c r="K13" s="72" t="n">
        <x:f>J13*'Předpoklady'!E20/1000*(1+'Předpoklady'!E21)^(A13-2029)</x:f>
        <x:v>2.3618374501161017</x:v>
      </x:c>
      <x:c r="L13" s="72" t="n">
        <x:f>MIN('Předpoklady'!E23,J13*'Předpoklady'!E22/1000)</x:f>
        <x:v>0.536</x:v>
      </x:c>
      <x:c r="M13" s="70" t="n">
        <x:f>'Předpoklady'!F19</x:f>
        <x:v>0.69</x:v>
      </x:c>
      <x:c r="N13" s="74" t="n">
        <x:f>B13*D13*M13</x:f>
        <x:v>93.14999999999999</x:v>
      </x:c>
      <x:c r="O13" s="72" t="n">
        <x:f>N13*'Předpoklady'!F20/1000*(1+'Předpoklady'!F21)^(A13-2029)</x:f>
        <x:v>1.8629999999999998</x:v>
      </x:c>
      <x:c r="P13" s="72" t="n">
        <x:f>MIN('Předpoklady'!F23,N13*'Předpoklady'!F22/1000)</x:f>
        <x:v>0.536</x:v>
      </x:c>
    </x:row>
    <x:row r="14">
      <x:c r="A14" s="76" t="n">
        <x:v>2036</x:v>
      </x:c>
      <x:c r="B14" s="76" t="n">
        <x:v>132</x:v>
      </x:c>
      <x:c r="C14" s="14" t="str">
        <x:v>modelová lineární interpolace</x:v>
      </x:c>
      <x:c r="D14" s="70" t="n">
        <x:v>1</x:v>
      </x:c>
      <x:c r="E14" s="70" t="n">
        <x:f>'Předpoklady'!D19</x:f>
        <x:v>1</x:v>
      </x:c>
      <x:c r="F14" s="74" t="n">
        <x:f>B14*D14*E14</x:f>
        <x:v>132</x:v>
      </x:c>
      <x:c r="G14" s="72" t="n">
        <x:f>F14*'Předpoklady'!D20/1000*(1+'Předpoklady'!D21)^(A14-2029)</x:f>
        <x:v>3.032530162594099</x:v>
      </x:c>
      <x:c r="H14" s="72" t="n">
        <x:f>MIN('Předpoklady'!D23,F14*'Předpoklady'!D22/1000)</x:f>
        <x:v>0.536</x:v>
      </x:c>
      <x:c r="I14" s="70" t="n">
        <x:f>'Předpoklady'!E19</x:f>
        <x:v>0.8</x:v>
      </x:c>
      <x:c r="J14" s="74" t="n">
        <x:f>B14*D14*I14</x:f>
        <x:v>105.60000000000001</x:v>
      </x:c>
      <x:c r="K14" s="72" t="n">
        <x:f>J14*'Předpoklady'!E20/1000*(1+'Předpoklady'!E21)^(A14-2029)</x:f>
        <x:v>2.3439924560485577</x:v>
      </x:c>
      <x:c r="L14" s="72" t="n">
        <x:f>MIN('Předpoklady'!E23,J14*'Předpoklady'!E22/1000)</x:f>
        <x:v>0.536</x:v>
      </x:c>
      <x:c r="M14" s="70" t="n">
        <x:f>'Předpoklady'!F19</x:f>
        <x:v>0.69</x:v>
      </x:c>
      <x:c r="N14" s="74" t="n">
        <x:f>B14*D14*M14</x:f>
        <x:v>91.08</x:v>
      </x:c>
      <x:c r="O14" s="72" t="n">
        <x:f>N14*'Předpoklady'!F20/1000*(1+'Předpoklady'!F21)^(A14-2029)</x:f>
        <x:v>1.8215999999999999</x:v>
      </x:c>
      <x:c r="P14" s="72" t="n">
        <x:f>MIN('Předpoklady'!F23,N14*'Předpoklady'!F22/1000)</x:f>
        <x:v>0.536</x:v>
      </x:c>
    </x:row>
    <x:row r="15">
      <x:c r="A15" s="76" t="n">
        <x:v>2037</x:v>
      </x:c>
      <x:c r="B15" s="76" t="n">
        <x:v>129</x:v>
      </x:c>
      <x:c r="C15" s="14" t="str">
        <x:v>modelová lineární interpolace</x:v>
      </x:c>
      <x:c r="D15" s="70" t="n">
        <x:v>1</x:v>
      </x:c>
      <x:c r="E15" s="70" t="n">
        <x:f>'Předpoklady'!D19</x:f>
        <x:v>1</x:v>
      </x:c>
      <x:c r="F15" s="74" t="n">
        <x:f>B15*D15*E15</x:f>
        <x:v>129</x:v>
      </x:c>
      <x:c r="G15" s="72" t="n">
        <x:f>F15*'Předpoklady'!D20/1000*(1+'Předpoklady'!D21)^(A15-2029)</x:f>
        <x:v>3.022881202985845</x:v>
      </x:c>
      <x:c r="H15" s="72" t="n">
        <x:f>MIN('Předpoklady'!D23,F15*'Předpoklady'!D22/1000)</x:f>
        <x:v>0.536</x:v>
      </x:c>
      <x:c r="I15" s="70" t="n">
        <x:f>'Předpoklady'!E19</x:f>
        <x:v>0.8</x:v>
      </x:c>
      <x:c r="J15" s="74" t="n">
        <x:f>B15*D15*I15</x:f>
        <x:v>103.2</x:v>
      </x:c>
      <x:c r="K15" s="72" t="n">
        <x:f>J15*'Předpoklady'!E20/1000*(1+'Předpoklady'!E21)^(A15-2029)</x:f>
        <x:v>2.325080698732711</x:v>
      </x:c>
      <x:c r="L15" s="72" t="n">
        <x:f>MIN('Předpoklady'!E23,J15*'Předpoklady'!E22/1000)</x:f>
        <x:v>0.536</x:v>
      </x:c>
      <x:c r="M15" s="70" t="n">
        <x:f>'Předpoklady'!F19</x:f>
        <x:v>0.69</x:v>
      </x:c>
      <x:c r="N15" s="74" t="n">
        <x:f>B15*D15*M15</x:f>
        <x:v>89.00999999999999</x:v>
      </x:c>
      <x:c r="O15" s="72" t="n">
        <x:f>N15*'Předpoklady'!F20/1000*(1+'Předpoklady'!F21)^(A15-2029)</x:f>
        <x:v>1.7801999999999998</x:v>
      </x:c>
      <x:c r="P15" s="72" t="n">
        <x:f>MIN('Předpoklady'!F23,N15*'Předpoklady'!F22/1000)</x:f>
        <x:v>0.536</x:v>
      </x:c>
    </x:row>
    <x:row r="16">
      <x:c r="A16" s="76" t="n">
        <x:v>2038</x:v>
      </x:c>
      <x:c r="B16" s="76" t="n">
        <x:v>126</x:v>
      </x:c>
      <x:c r="C16" s="14" t="str">
        <x:v>modelová lineární interpolace</x:v>
      </x:c>
      <x:c r="D16" s="70" t="n">
        <x:v>1</x:v>
      </x:c>
      <x:c r="E16" s="70" t="n">
        <x:f>'Předpoklady'!D19</x:f>
        <x:v>1</x:v>
      </x:c>
      <x:c r="F16" s="74" t="n">
        <x:f>B16*D16*E16</x:f>
        <x:v>126</x:v>
      </x:c>
      <x:c r="G16" s="72" t="n">
        <x:f>F16*'Předpoklady'!D20/1000*(1+'Předpoklady'!D21)^(A16-2029)</x:f>
        <x:v>3.0116332729282234</x:v>
      </x:c>
      <x:c r="H16" s="72" t="n">
        <x:f>MIN('Předpoklady'!D23,F16*'Předpoklady'!D22/1000)</x:f>
        <x:v>0.536</x:v>
      </x:c>
      <x:c r="I16" s="70" t="n">
        <x:f>'Předpoklady'!E19</x:f>
        <x:v>0.8</x:v>
      </x:c>
      <x:c r="J16" s="74" t="n">
        <x:f>B16*D16*I16</x:f>
        <x:v>100.80000000000001</x:v>
      </x:c>
      <x:c r="K16" s="72" t="n">
        <x:f>J16*'Předpoklady'!E20/1000*(1+'Předpoklady'!E21)^(A16-2029)</x:f>
        <x:v>2.305074190394778</x:v>
      </x:c>
      <x:c r="L16" s="72" t="n">
        <x:f>MIN('Předpoklady'!E23,J16*'Předpoklady'!E22/1000)</x:f>
        <x:v>0.536</x:v>
      </x:c>
      <x:c r="M16" s="70" t="n">
        <x:f>'Předpoklady'!F19</x:f>
        <x:v>0.69</x:v>
      </x:c>
      <x:c r="N16" s="74" t="n">
        <x:f>B16*D16*M16</x:f>
        <x:v>86.94</x:v>
      </x:c>
      <x:c r="O16" s="72" t="n">
        <x:f>N16*'Předpoklady'!F20/1000*(1+'Předpoklady'!F21)^(A16-2029)</x:f>
        <x:v>1.7388</x:v>
      </x:c>
      <x:c r="P16" s="72" t="n">
        <x:f>MIN('Předpoklady'!F23,N16*'Předpoklady'!F22/1000)</x:f>
        <x:v>0.536</x:v>
      </x:c>
    </x:row>
    <x:row r="17">
      <x:c r="A17" s="76" t="n">
        <x:v>2039</x:v>
      </x:c>
      <x:c r="B17" s="76" t="n">
        <x:v>123</x:v>
      </x:c>
      <x:c r="C17" s="14" t="str">
        <x:v>modelová lineární interpolace</x:v>
      </x:c>
      <x:c r="D17" s="70" t="n">
        <x:v>1</x:v>
      </x:c>
      <x:c r="E17" s="70" t="n">
        <x:f>'Předpoklady'!D19</x:f>
        <x:v>1</x:v>
      </x:c>
      <x:c r="F17" s="74" t="n">
        <x:f>B17*D17*E17</x:f>
        <x:v>123</x:v>
      </x:c>
      <x:c r="G17" s="72" t="n">
        <x:f>F17*'Předpoklady'!D20/1000*(1+'Předpoklady'!D21)^(A17-2029)</x:f>
        <x:v>2.9987262731871023</x:v>
      </x:c>
      <x:c r="H17" s="72" t="n">
        <x:f>MIN('Předpoklady'!D23,F17*'Předpoklady'!D22/1000)</x:f>
        <x:v>0.536</x:v>
      </x:c>
      <x:c r="I17" s="70" t="n">
        <x:f>'Předpoklady'!E19</x:f>
        <x:v>0.8</x:v>
      </x:c>
      <x:c r="J17" s="74" t="n">
        <x:f>B17*D17*I17</x:f>
        <x:v>98.4</x:v>
      </x:c>
      <x:c r="K17" s="72" t="n">
        <x:f>J17*'Předpoklady'!E20/1000*(1+'Předpoklady'!E21)^(A17-2029)</x:f>
        <x:v>2.2839443436494924</x:v>
      </x:c>
      <x:c r="L17" s="72" t="n">
        <x:f>MIN('Předpoklady'!E23,J17*'Předpoklady'!E22/1000)</x:f>
        <x:v>0.536</x:v>
      </x:c>
      <x:c r="M17" s="70" t="n">
        <x:f>'Předpoklady'!F19</x:f>
        <x:v>0.69</x:v>
      </x:c>
      <x:c r="N17" s="74" t="n">
        <x:f>B17*D17*M17</x:f>
        <x:v>84.86999999999999</x:v>
      </x:c>
      <x:c r="O17" s="72" t="n">
        <x:f>N17*'Předpoklady'!F20/1000*(1+'Předpoklady'!F21)^(A17-2029)</x:f>
        <x:v>1.6973999999999998</x:v>
      </x:c>
      <x:c r="P17" s="72" t="n">
        <x:f>MIN('Předpoklady'!F23,N17*'Předpoklady'!F22/1000)</x:f>
        <x:v>0.536</x:v>
      </x:c>
    </x:row>
    <x:row r="18">
      <x:c r="A18" s="76" t="n">
        <x:v>2040</x:v>
      </x:c>
      <x:c r="B18" s="76" t="n">
        <x:v>120</x:v>
      </x:c>
      <x:c r="C18" s="14" t="str">
        <x:v>studie: cca 120</x:v>
      </x:c>
      <x:c r="D18" s="70" t="n">
        <x:v>1</x:v>
      </x:c>
      <x:c r="E18" s="70" t="n">
        <x:f>'Předpoklady'!D19</x:f>
        <x:v>1</x:v>
      </x:c>
      <x:c r="F18" s="74" t="n">
        <x:f>B18*D18*E18</x:f>
        <x:v>120</x:v>
      </x:c>
      <x:c r="G18" s="72" t="n">
        <x:f>F18*'Předpoklady'!D20/1000*(1+'Předpoklady'!D21)^(A18-2029)</x:f>
        <x:v>2.9840983401471646</x:v>
      </x:c>
      <x:c r="H18" s="72" t="n">
        <x:f>MIN('Předpoklady'!D23,F18*'Předpoklady'!D22/1000)</x:f>
        <x:v>0.536</x:v>
      </x:c>
      <x:c r="I18" s="70" t="n">
        <x:f>'Předpoklady'!E19</x:f>
        <x:v>0.8</x:v>
      </x:c>
      <x:c r="J18" s="74" t="n">
        <x:f>B18*D18*I18</x:f>
        <x:v>96</x:v>
      </x:c>
      <x:c r="K18" s="72" t="n">
        <x:f>J18*'Předpoklady'!E20/1000*(1+'Předpoklady'!E21)^(A18-2029)</x:f>
        <x:v>2.2616619598090093</x:v>
      </x:c>
      <x:c r="L18" s="72" t="n">
        <x:f>MIN('Předpoklady'!E23,J18*'Předpoklady'!E22/1000)</x:f>
        <x:v>0.536</x:v>
      </x:c>
      <x:c r="M18" s="70" t="n">
        <x:f>'Předpoklady'!F19</x:f>
        <x:v>0.69</x:v>
      </x:c>
      <x:c r="N18" s="74" t="n">
        <x:f>B18*D18*M18</x:f>
        <x:v>82.8</x:v>
      </x:c>
      <x:c r="O18" s="72" t="n">
        <x:f>N18*'Předpoklady'!F20/1000*(1+'Předpoklady'!F21)^(A18-2029)</x:f>
        <x:v>1.656</x:v>
      </x:c>
      <x:c r="P18" s="72" t="n">
        <x:f>MIN('Předpoklady'!F23,N18*'Předpoklady'!F22/1000)</x:f>
        <x:v>0.536</x:v>
      </x:c>
    </x:row>
    <x:row r="19">
      <x:c r="A19" s="76" t="n">
        <x:v>2041</x:v>
      </x:c>
      <x:c r="B19" s="76" t="n">
        <x:v>120</x:v>
      </x:c>
      <x:c r="C19" s="14" t="str">
        <x:v>model: drženo na 120</x:v>
      </x:c>
      <x:c r="D19" s="70" t="n">
        <x:v>1</x:v>
      </x:c>
      <x:c r="E19" s="70" t="n">
        <x:f>'Předpoklady'!D19</x:f>
        <x:v>1</x:v>
      </x:c>
      <x:c r="F19" s="74" t="n">
        <x:f>B19*D19*E19</x:f>
        <x:v>120</x:v>
      </x:c>
      <x:c r="G19" s="72" t="n">
        <x:f>F19*'Předpoklady'!D20/1000*(1+'Předpoklady'!D21)^(A19-2029)</x:f>
        <x:v>3.0437803069501084</x:v>
      </x:c>
      <x:c r="H19" s="72" t="n">
        <x:f>MIN('Předpoklady'!D23,F19*'Předpoklady'!D22/1000)</x:f>
        <x:v>0.536</x:v>
      </x:c>
      <x:c r="I19" s="70" t="n">
        <x:f>'Předpoklady'!E19</x:f>
        <x:v>0.8</x:v>
      </x:c>
      <x:c r="J19" s="74" t="n">
        <x:f>B19*D19*I19</x:f>
        <x:v>96</x:v>
      </x:c>
      <x:c r="K19" s="72" t="n">
        <x:f>J19*'Předpoklady'!E20/1000*(1+'Předpoklady'!E21)^(A19-2029)</x:f>
        <x:v>2.295586889206144</x:v>
      </x:c>
      <x:c r="L19" s="72" t="n">
        <x:f>MIN('Předpoklady'!E23,J19*'Předpoklady'!E22/1000)</x:f>
        <x:v>0.536</x:v>
      </x:c>
      <x:c r="M19" s="70" t="n">
        <x:f>'Předpoklady'!F19</x:f>
        <x:v>0.69</x:v>
      </x:c>
      <x:c r="N19" s="74" t="n">
        <x:f>B19*D19*M19</x:f>
        <x:v>82.8</x:v>
      </x:c>
      <x:c r="O19" s="72" t="n">
        <x:f>N19*'Předpoklady'!F20/1000*(1+'Předpoklady'!F21)^(A19-2029)</x:f>
        <x:v>1.656</x:v>
      </x:c>
      <x:c r="P19" s="72" t="n">
        <x:f>MIN('Předpoklady'!F23,N19*'Předpoklady'!F22/1000)</x:f>
        <x:v>0.536</x:v>
      </x:c>
    </x:row>
    <x:row r="20">
      <x:c r="A20" s="76" t="n">
        <x:v>2042</x:v>
      </x:c>
      <x:c r="B20" s="76" t="n">
        <x:v>120</x:v>
      </x:c>
      <x:c r="C20" s="14" t="str">
        <x:v>model: drženo na 120</x:v>
      </x:c>
      <x:c r="D20" s="70" t="n">
        <x:v>1</x:v>
      </x:c>
      <x:c r="E20" s="70" t="n">
        <x:f>'Předpoklady'!D19</x:f>
        <x:v>1</x:v>
      </x:c>
      <x:c r="F20" s="74" t="n">
        <x:f>B20*D20*E20</x:f>
        <x:v>120</x:v>
      </x:c>
      <x:c r="G20" s="72" t="n">
        <x:f>F20*'Předpoklady'!D20/1000*(1+'Předpoklady'!D21)^(A20-2029)</x:f>
        <x:v>3.1046559130891107</x:v>
      </x:c>
      <x:c r="H20" s="72" t="n">
        <x:f>MIN('Předpoklady'!D23,F20*'Předpoklady'!D22/1000)</x:f>
        <x:v>0.536</x:v>
      </x:c>
      <x:c r="I20" s="70" t="n">
        <x:f>'Předpoklady'!E19</x:f>
        <x:v>0.8</x:v>
      </x:c>
      <x:c r="J20" s="74" t="n">
        <x:f>B20*D20*I20</x:f>
        <x:v>96</x:v>
      </x:c>
      <x:c r="K20" s="72" t="n">
        <x:f>J20*'Předpoklady'!E20/1000*(1+'Předpoklady'!E21)^(A20-2029)</x:f>
        <x:v>2.330020692544236</x:v>
      </x:c>
      <x:c r="L20" s="72" t="n">
        <x:f>MIN('Předpoklady'!E23,J20*'Předpoklady'!E22/1000)</x:f>
        <x:v>0.536</x:v>
      </x:c>
      <x:c r="M20" s="70" t="n">
        <x:f>'Předpoklady'!F19</x:f>
        <x:v>0.69</x:v>
      </x:c>
      <x:c r="N20" s="74" t="n">
        <x:f>B20*D20*M20</x:f>
        <x:v>82.8</x:v>
      </x:c>
      <x:c r="O20" s="72" t="n">
        <x:f>N20*'Předpoklady'!F20/1000*(1+'Předpoklady'!F21)^(A20-2029)</x:f>
        <x:v>1.656</x:v>
      </x:c>
      <x:c r="P20" s="72" t="n">
        <x:f>MIN('Předpoklady'!F23,N20*'Předpoklady'!F22/1000)</x:f>
        <x:v>0.536</x:v>
      </x:c>
    </x:row>
    <x:row r="21">
      <x:c r="A21" s="77" t="n">
        <x:v>2043</x:v>
      </x:c>
      <x:c r="B21" s="77" t="n">
        <x:v>120</x:v>
      </x:c>
      <x:c r="C21" s="85" t="str">
        <x:v>model: drženo na 120</x:v>
      </x:c>
      <x:c r="D21" s="78" t="n">
        <x:v>1</x:v>
      </x:c>
      <x:c r="E21" s="78" t="n">
        <x:f>'Předpoklady'!D19</x:f>
        <x:v>1</x:v>
      </x:c>
      <x:c r="F21" s="79" t="n">
        <x:f>B21*D21*E21</x:f>
        <x:v>120</x:v>
      </x:c>
      <x:c r="G21" s="80" t="n">
        <x:f>F21*'Předpoklady'!D20/1000*(1+'Předpoklady'!D21)^(A21-2029)</x:f>
        <x:v>3.1667490313508933</x:v>
      </x:c>
      <x:c r="H21" s="80" t="n">
        <x:f>MIN('Předpoklady'!D23,F21*'Předpoklady'!D22/1000)</x:f>
        <x:v>0.536</x:v>
      </x:c>
      <x:c r="I21" s="78" t="n">
        <x:f>'Předpoklady'!E19</x:f>
        <x:v>0.8</x:v>
      </x:c>
      <x:c r="J21" s="79" t="n">
        <x:f>B21*D21*I21</x:f>
        <x:v>96</x:v>
      </x:c>
      <x:c r="K21" s="80" t="n">
        <x:f>J21*'Předpoklady'!E20/1000*(1+'Předpoklady'!E21)^(A21-2029)</x:f>
        <x:v>2.364971002932399</x:v>
      </x:c>
      <x:c r="L21" s="80" t="n">
        <x:f>MIN('Předpoklady'!E23,J21*'Předpoklady'!E22/1000)</x:f>
        <x:v>0.536</x:v>
      </x:c>
      <x:c r="M21" s="78" t="n">
        <x:f>'Předpoklady'!F19</x:f>
        <x:v>0.69</x:v>
      </x:c>
      <x:c r="N21" s="79" t="n">
        <x:f>B21*D21*M21</x:f>
        <x:v>82.8</x:v>
      </x:c>
      <x:c r="O21" s="80" t="n">
        <x:f>N21*'Předpoklady'!F20/1000*(1+'Předpoklady'!F21)^(A21-2029)</x:f>
        <x:v>1.656</x:v>
      </x:c>
      <x:c r="P21" s="80" t="n">
        <x:f>MIN('Předpoklady'!F23,N21*'Předpoklady'!F22/1000)</x:f>
        <x:v>0.536</x:v>
      </x:c>
    </x:row>
    <x:row r="23">
      <x:c r="A23" s="88" t="str">
        <x:v>Zdroj demografie: https://www.libis.cz/data/files/vs-demograficka-studie-libis-28-2-25.pdf | Studie: cca 150 dětí 11–14 let kolem 2030, cca 120 v roce 2040; současná návštěvnost cca 75 % na 1. stupni a 69 % u 1. třídy. Hodnoty mezi kotvami a po roce 2040 jsou modelové.</x:v>
      </x:c>
      <x:c r="B23" s="88"/>
      <x:c r="C23" s="88"/>
      <x:c r="D23" s="88"/>
      <x:c r="E23" s="88"/>
      <x:c r="F23" s="88"/>
      <x:c r="G23" s="88"/>
      <x:c r="H23" s="88"/>
      <x:c r="I23" s="88"/>
      <x:c r="J23" s="88"/>
      <x:c r="K23" s="88"/>
      <x:c r="L23" s="88"/>
      <x:c r="M23" s="88"/>
      <x:c r="N23" s="88"/>
      <x:c r="O23" s="88"/>
      <x:c r="P23" s="88"/>
    </x:row>
    <x:row r="24">
      <x:c r="A24" s="93" t="str">
        <x:v>Zdroj RUD: https://mf.gov.cz/cs/rozpoctova-politika/uzemni-rozpocty/hospodareni-uzemnich-rozpoctu/financovani-materskych-a-zakladnich-skol/2026/informace-o-vysi-prostredku-ktere-obce-a-kraje-zis-62870 | MF: předběžně 36,786 tis. Kč na jednoho přepočteného žáka; model záměrně používá konzervativních 20 tis. Kč/žáka podle podkladu obce.</x:v>
      </x:c>
      <x:c r="B24" s="93"/>
      <x:c r="C24" s="93"/>
      <x:c r="D24" s="93"/>
      <x:c r="E24" s="93"/>
      <x:c r="F24" s="93"/>
      <x:c r="G24" s="93"/>
      <x:c r="H24" s="93"/>
      <x:c r="I24" s="93"/>
      <x:c r="J24" s="93"/>
      <x:c r="K24" s="93"/>
      <x:c r="L24" s="93"/>
      <x:c r="M24" s="93"/>
      <x:c r="N24" s="93"/>
      <x:c r="O24" s="93"/>
      <x:c r="P24" s="93"/>
    </x:row>
  </x:sheetData>
  <x:mergeCells>
    <x:mergeCell ref="A1:P1"/>
    <x:mergeCell ref="A23:P23"/>
    <x:mergeCell ref="A24:P24"/>
  </x:mergeCells>
  <x:pageMargins left="0.7" right="0.7" top="0.75" bottom="0.75" header="0.3" footer="0.3"/>
</x:worksheet>
</file>

<file path=xl/worksheets/sheet4.xml><?xml version="1.0" encoding="utf-8"?>
<x:worksheet xmlns:x="http://schemas.openxmlformats.org/spreadsheetml/2006/main">
  <x:sheetFormatPr defaultRowHeight="15"/>
  <x:cols>
    <x:col min="1" max="1" width="43"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s>
  <x:sheetData>
    <x:row r="1" ht="28" customHeight="1">
      <x:c r="A1" s="26" t="str">
        <x:v>BEST – dlouhodobý cash-flow školy (mil. Kč)</x:v>
      </x:c>
      <x:c r="B1" s="26"/>
      <x:c r="C1" s="26"/>
      <x:c r="D1" s="26"/>
      <x:c r="E1" s="26"/>
      <x:c r="F1" s="26"/>
      <x:c r="G1" s="26"/>
      <x:c r="H1" s="26"/>
      <x:c r="I1" s="26"/>
      <x:c r="J1" s="26"/>
      <x:c r="K1" s="26"/>
      <x:c r="L1" s="26"/>
      <x:c r="M1" s="26"/>
      <x:c r="N1" s="26"/>
      <x:c r="O1" s="26"/>
      <x:c r="P1" s="26"/>
      <x:c r="Q1" s="26"/>
      <x:c r="R1" s="26"/>
      <x:c r="S1" s="26"/>
    </x:row>
    <x:row r="4">
      <x:c r="A4" s="123" t="str">
        <x:v>Položka</x:v>
      </x:c>
      <x:c r="B4" s="124" t="n">
        <x:v>2026</x:v>
      </x:c>
      <x:c r="C4" s="124" t="n">
        <x:v>2027</x:v>
      </x:c>
      <x:c r="D4" s="124" t="n">
        <x:v>2028</x:v>
      </x:c>
      <x:c r="E4" s="124" t="n">
        <x:v>2029</x:v>
      </x:c>
      <x:c r="F4" s="124" t="n">
        <x:v>2030</x:v>
      </x:c>
      <x:c r="G4" s="124" t="n">
        <x:v>2031</x:v>
      </x:c>
      <x:c r="H4" s="124" t="n">
        <x:v>2032</x:v>
      </x:c>
      <x:c r="I4" s="124" t="n">
        <x:v>2033</x:v>
      </x:c>
      <x:c r="J4" s="124" t="n">
        <x:v>2034</x:v>
      </x:c>
      <x:c r="K4" s="124" t="n">
        <x:v>2035</x:v>
      </x:c>
      <x:c r="L4" s="124" t="n">
        <x:v>2036</x:v>
      </x:c>
      <x:c r="M4" s="124" t="n">
        <x:v>2037</x:v>
      </x:c>
      <x:c r="N4" s="124" t="n">
        <x:v>2038</x:v>
      </x:c>
      <x:c r="O4" s="124" t="n">
        <x:v>2039</x:v>
      </x:c>
      <x:c r="P4" s="124" t="n">
        <x:v>2040</x:v>
      </x:c>
      <x:c r="Q4" s="124" t="n">
        <x:v>2041</x:v>
      </x:c>
      <x:c r="R4" s="124" t="n">
        <x:v>2042</x:v>
      </x:c>
      <x:c r="S4" s="124" t="n">
        <x:v>2043</x:v>
      </x:c>
    </x:row>
    <x:row r="5">
      <x:c r="A5" s="125" t="str">
        <x:v>1. INVESTICE A FINANCOVÁNÍ VÝSTAVBY</x:v>
      </x:c>
      <x:c r="B5" s="125"/>
      <x:c r="C5" s="125"/>
      <x:c r="D5" s="125"/>
      <x:c r="E5" s="125"/>
      <x:c r="F5" s="125"/>
      <x:c r="G5" s="125"/>
      <x:c r="H5" s="125"/>
      <x:c r="I5" s="125"/>
      <x:c r="J5" s="125"/>
      <x:c r="K5" s="125"/>
      <x:c r="L5" s="125"/>
      <x:c r="M5" s="125"/>
      <x:c r="N5" s="125"/>
      <x:c r="O5" s="125"/>
      <x:c r="P5" s="125"/>
      <x:c r="Q5" s="125"/>
      <x:c r="R5" s="125"/>
      <x:c r="S5" s="125"/>
    </x:row>
    <x:row r="6">
      <x:c r="A6" s="239" t="str">
        <x:v>Platby zhotoviteli (DEMO kalendář)</x:v>
      </x:c>
      <x:c r="B6" s="240" t="n">
        <x:f>50*'Předpoklady'!D6/'Předpoklady'!D4</x:f>
        <x:v>50</x:v>
      </x:c>
      <x:c r="C6" s="240" t="n">
        <x:f>60*'Předpoklady'!D6/'Předpoklady'!D4</x:f>
        <x:v>60.00000000000001</x:v>
      </x:c>
      <x:c r="D6" s="240" t="n">
        <x:f>35.2*'Předpoklady'!D6/'Předpoklady'!D4</x:f>
        <x:v>35.2</x:v>
      </x:c>
      <x:c r="E6" s="240" t="n">
        <x:v>0</x:v>
      </x:c>
      <x:c r="F6" s="240" t="n">
        <x:v>0</x:v>
      </x:c>
      <x:c r="G6" s="240" t="n">
        <x:v>0</x:v>
      </x:c>
      <x:c r="H6" s="240" t="n">
        <x:v>0</x:v>
      </x:c>
      <x:c r="I6" s="240" t="n">
        <x:v>0</x:v>
      </x:c>
      <x:c r="J6" s="240" t="n">
        <x:v>0</x:v>
      </x:c>
      <x:c r="K6" s="240" t="n">
        <x:v>0</x:v>
      </x:c>
      <x:c r="L6" s="240" t="n">
        <x:v>0</x:v>
      </x:c>
      <x:c r="M6" s="240" t="n">
        <x:v>0</x:v>
      </x:c>
      <x:c r="N6" s="240" t="n">
        <x:v>0</x:v>
      </x:c>
      <x:c r="O6" s="240" t="n">
        <x:v>0</x:v>
      </x:c>
      <x:c r="P6" s="240" t="n">
        <x:v>0</x:v>
      </x:c>
      <x:c r="Q6" s="240" t="n">
        <x:v>0</x:v>
      </x:c>
      <x:c r="R6" s="240" t="n">
        <x:v>0</x:v>
      </x:c>
      <x:c r="S6" s="240" t="n">
        <x:v>0</x:v>
      </x:c>
    </x:row>
    <x:row r="7">
      <x:c r="A7" s="239" t="str">
        <x:v>Vybavení školy</x:v>
      </x:c>
      <x:c r="B7" s="240" t="n">
        <x:v>0</x:v>
      </x:c>
      <x:c r="C7" s="240" t="n">
        <x:v>0</x:v>
      </x:c>
      <x:c r="D7" s="240" t="n">
        <x:v>1</x:v>
      </x:c>
      <x:c r="E7" s="240" t="n">
        <x:v>1</x:v>
      </x:c>
      <x:c r="F7" s="240" t="n">
        <x:v>0</x:v>
      </x:c>
      <x:c r="G7" s="240" t="n">
        <x:v>0</x:v>
      </x:c>
      <x:c r="H7" s="240" t="n">
        <x:v>0</x:v>
      </x:c>
      <x:c r="I7" s="240" t="n">
        <x:v>0</x:v>
      </x:c>
      <x:c r="J7" s="240" t="n">
        <x:v>0</x:v>
      </x:c>
      <x:c r="K7" s="240" t="n">
        <x:v>0</x:v>
      </x:c>
      <x:c r="L7" s="240" t="n">
        <x:v>0</x:v>
      </x:c>
      <x:c r="M7" s="240" t="n">
        <x:v>0</x:v>
      </x:c>
      <x:c r="N7" s="240" t="n">
        <x:v>0</x:v>
      </x:c>
      <x:c r="O7" s="240" t="n">
        <x:v>0</x:v>
      </x:c>
      <x:c r="P7" s="240" t="n">
        <x:v>0</x:v>
      </x:c>
      <x:c r="Q7" s="240" t="n">
        <x:v>0</x:v>
      </x:c>
      <x:c r="R7" s="240" t="n">
        <x:v>0</x:v>
      </x:c>
      <x:c r="S7" s="240" t="n">
        <x:v>0</x:v>
      </x:c>
    </x:row>
    <x:row r="8">
      <x:c r="A8" s="239" t="str">
        <x:v>Celkové investiční výdaje v roce</x:v>
      </x:c>
      <x:c r="B8" s="240" t="n">
        <x:f>B6+B7</x:f>
        <x:v>50</x:v>
      </x:c>
      <x:c r="C8" s="240" t="n">
        <x:f>C6+C7</x:f>
        <x:v>60.00000000000001</x:v>
      </x:c>
      <x:c r="D8" s="240" t="n">
        <x:f>D6+D7</x:f>
        <x:v>36.2</x:v>
      </x:c>
      <x:c r="E8" s="240" t="n">
        <x:f>E6+E7</x:f>
        <x:v>1</x:v>
      </x:c>
      <x:c r="F8" s="240" t="n">
        <x:f>F6+F7</x:f>
        <x:v>0</x:v>
      </x:c>
      <x:c r="G8" s="240" t="n">
        <x:f>G6+G7</x:f>
        <x:v>0</x:v>
      </x:c>
      <x:c r="H8" s="240" t="n">
        <x:f>H6+H7</x:f>
        <x:v>0</x:v>
      </x:c>
      <x:c r="I8" s="240" t="n">
        <x:f>I6+I7</x:f>
        <x:v>0</x:v>
      </x:c>
      <x:c r="J8" s="240" t="n">
        <x:f>J6+J7</x:f>
        <x:v>0</x:v>
      </x:c>
      <x:c r="K8" s="240" t="n">
        <x:f>K6+K7</x:f>
        <x:v>0</x:v>
      </x:c>
      <x:c r="L8" s="240" t="n">
        <x:f>L6+L7</x:f>
        <x:v>0</x:v>
      </x:c>
      <x:c r="M8" s="240" t="n">
        <x:f>M6+M7</x:f>
        <x:v>0</x:v>
      </x:c>
      <x:c r="N8" s="240" t="n">
        <x:f>N6+N7</x:f>
        <x:v>0</x:v>
      </x:c>
      <x:c r="O8" s="240" t="n">
        <x:f>O6+O7</x:f>
        <x:v>0</x:v>
      </x:c>
      <x:c r="P8" s="240" t="n">
        <x:f>P6+P7</x:f>
        <x:v>0</x:v>
      </x:c>
      <x:c r="Q8" s="240" t="n">
        <x:f>Q6+Q7</x:f>
        <x:v>0</x:v>
      </x:c>
      <x:c r="R8" s="240" t="n">
        <x:f>R6+R7</x:f>
        <x:v>0</x:v>
      </x:c>
      <x:c r="S8" s="240" t="n">
        <x:f>S6+S7</x:f>
        <x:v>0</x:v>
      </x:c>
    </x:row>
    <x:row r="9">
      <x:c r="A9" s="239" t="str">
        <x:v>Projektová hotovost – počátek roku</x:v>
      </x:c>
      <x:c r="B9" s="240" t="n">
        <x:v>0</x:v>
      </x:c>
      <x:c r="C9" s="240" t="n">
        <x:f>B14</x:f>
        <x:v>20.5</x:v>
      </x:c>
      <x:c r="D9" s="240" t="n">
        <x:f>C14</x:f>
        <x:v>0</x:v>
      </x:c>
      <x:c r="E9" s="240" t="n">
        <x:f>D14</x:f>
        <x:v>0</x:v>
      </x:c>
      <x:c r="F9" s="240" t="n">
        <x:f>E14</x:f>
        <x:v>0</x:v>
      </x:c>
      <x:c r="G9" s="240" t="n">
        <x:f>F14</x:f>
        <x:v>0</x:v>
      </x:c>
      <x:c r="H9" s="240" t="n">
        <x:f>G14</x:f>
        <x:v>0</x:v>
      </x:c>
      <x:c r="I9" s="240" t="n">
        <x:f>H14</x:f>
        <x:v>0</x:v>
      </x:c>
      <x:c r="J9" s="240" t="n">
        <x:f>I14</x:f>
        <x:v>0</x:v>
      </x:c>
      <x:c r="K9" s="240" t="n">
        <x:f>J14</x:f>
        <x:v>0</x:v>
      </x:c>
      <x:c r="L9" s="240" t="n">
        <x:f>K14</x:f>
        <x:v>0</x:v>
      </x:c>
      <x:c r="M9" s="240" t="n">
        <x:f>L14</x:f>
        <x:v>0</x:v>
      </x:c>
      <x:c r="N9" s="240" t="n">
        <x:f>M14</x:f>
        <x:v>0</x:v>
      </x:c>
      <x:c r="O9" s="240" t="n">
        <x:f>N14</x:f>
        <x:v>0</x:v>
      </x:c>
      <x:c r="P9" s="240" t="n">
        <x:f>O14</x:f>
        <x:v>0</x:v>
      </x:c>
      <x:c r="Q9" s="240" t="n">
        <x:f>P14</x:f>
        <x:v>0</x:v>
      </x:c>
      <x:c r="R9" s="240" t="n">
        <x:f>Q14</x:f>
        <x:v>0</x:v>
      </x:c>
      <x:c r="S9" s="240" t="n">
        <x:f>R14</x:f>
        <x:v>0</x:v>
      </x:c>
    </x:row>
    <x:row r="10">
      <x:c r="A10" s="239" t="str">
        <x:v>Vlastní zdroje – termínovaný vklad</x:v>
      </x:c>
      <x:c r="B10" s="240" t="n">
        <x:v>20.5</x:v>
      </x:c>
      <x:c r="C10" s="240" t="n">
        <x:v>0</x:v>
      </x:c>
      <x:c r="D10" s="240" t="n">
        <x:v>0</x:v>
      </x:c>
      <x:c r="E10" s="240" t="n">
        <x:v>0</x:v>
      </x:c>
      <x:c r="F10" s="240" t="n">
        <x:v>0</x:v>
      </x:c>
      <x:c r="G10" s="240" t="n">
        <x:v>0</x:v>
      </x:c>
      <x:c r="H10" s="240" t="n">
        <x:v>0</x:v>
      </x:c>
      <x:c r="I10" s="240" t="n">
        <x:v>0</x:v>
      </x:c>
      <x:c r="J10" s="240" t="n">
        <x:v>0</x:v>
      </x:c>
      <x:c r="K10" s="240" t="n">
        <x:v>0</x:v>
      </x:c>
      <x:c r="L10" s="240" t="n">
        <x:v>0</x:v>
      </x:c>
      <x:c r="M10" s="240" t="n">
        <x:v>0</x:v>
      </x:c>
      <x:c r="N10" s="240" t="n">
        <x:v>0</x:v>
      </x:c>
      <x:c r="O10" s="240" t="n">
        <x:v>0</x:v>
      </x:c>
      <x:c r="P10" s="240" t="n">
        <x:v>0</x:v>
      </x:c>
      <x:c r="Q10" s="240" t="n">
        <x:v>0</x:v>
      </x:c>
      <x:c r="R10" s="240" t="n">
        <x:v>0</x:v>
      </x:c>
      <x:c r="S10" s="240" t="n">
        <x:v>0</x:v>
      </x:c>
    </x:row>
    <x:row r="11">
      <x:c r="A11" s="239" t="str">
        <x:v>Vlastní zdroje – rozpočet / investiční kapacita</x:v>
      </x:c>
      <x:c r="B11" s="240" t="n">
        <x:v>50</x:v>
      </x:c>
      <x:c r="C11" s="240" t="n">
        <x:v>6.9</x:v>
      </x:c>
      <x:c r="D11" s="240" t="n">
        <x:v>7.7</x:v>
      </x:c>
      <x:c r="E11" s="240" t="n">
        <x:v>0</x:v>
      </x:c>
      <x:c r="F11" s="240" t="n">
        <x:v>0</x:v>
      </x:c>
      <x:c r="G11" s="240" t="n">
        <x:v>0</x:v>
      </x:c>
      <x:c r="H11" s="240" t="n">
        <x:v>0</x:v>
      </x:c>
      <x:c r="I11" s="240" t="n">
        <x:v>0</x:v>
      </x:c>
      <x:c r="J11" s="240" t="n">
        <x:v>0</x:v>
      </x:c>
      <x:c r="K11" s="240" t="n">
        <x:v>0</x:v>
      </x:c>
      <x:c r="L11" s="240" t="n">
        <x:v>0</x:v>
      </x:c>
      <x:c r="M11" s="240" t="n">
        <x:v>0</x:v>
      </x:c>
      <x:c r="N11" s="240" t="n">
        <x:v>0</x:v>
      </x:c>
      <x:c r="O11" s="240" t="n">
        <x:v>0</x:v>
      </x:c>
      <x:c r="P11" s="240" t="n">
        <x:v>0</x:v>
      </x:c>
      <x:c r="Q11" s="240" t="n">
        <x:v>0</x:v>
      </x:c>
      <x:c r="R11" s="240" t="n">
        <x:v>0</x:v>
      </x:c>
      <x:c r="S11" s="240" t="n">
        <x:v>0</x:v>
      </x:c>
    </x:row>
    <x:row r="12">
      <x:c r="A12" s="239" t="str">
        <x:v>Dotace</x:v>
      </x:c>
      <x:c r="B12" s="240" t="n">
        <x:v>0</x:v>
      </x:c>
      <x:c r="C12" s="240" t="n">
        <x:v>10</x:v>
      </x:c>
      <x:c r="D12" s="240" t="n">
        <x:v>20</x:v>
      </x:c>
      <x:c r="E12" s="240" t="n">
        <x:v>0</x:v>
      </x:c>
      <x:c r="F12" s="240" t="n">
        <x:v>0</x:v>
      </x:c>
      <x:c r="G12" s="240" t="n">
        <x:v>0</x:v>
      </x:c>
      <x:c r="H12" s="240" t="n">
        <x:v>0</x:v>
      </x:c>
      <x:c r="I12" s="240" t="n">
        <x:v>0</x:v>
      </x:c>
      <x:c r="J12" s="240" t="n">
        <x:v>0</x:v>
      </x:c>
      <x:c r="K12" s="240" t="n">
        <x:v>0</x:v>
      </x:c>
      <x:c r="L12" s="240" t="n">
        <x:v>0</x:v>
      </x:c>
      <x:c r="M12" s="240" t="n">
        <x:v>0</x:v>
      </x:c>
      <x:c r="N12" s="240" t="n">
        <x:v>0</x:v>
      </x:c>
      <x:c r="O12" s="240" t="n">
        <x:v>0</x:v>
      </x:c>
      <x:c r="P12" s="240" t="n">
        <x:v>0</x:v>
      </x:c>
      <x:c r="Q12" s="240" t="n">
        <x:v>0</x:v>
      </x:c>
      <x:c r="R12" s="240" t="n">
        <x:v>0</x:v>
      </x:c>
      <x:c r="S12" s="240" t="n">
        <x:v>0</x:v>
      </x:c>
    </x:row>
    <x:row r="13">
      <x:c r="A13" s="239" t="str">
        <x:v>Čerpání úvěru</x:v>
      </x:c>
      <x:c r="B13" s="240" t="n">
        <x:f>MAX(0,B6-B9-B10-B11-B12)</x:f>
        <x:v>0</x:v>
      </x:c>
      <x:c r="C13" s="240" t="n">
        <x:f>MAX(0,C6-C9-C10-C11-C12)</x:f>
        <x:v>22.60000000000001</x:v>
      </x:c>
      <x:c r="D13" s="240" t="n">
        <x:f>MAX(0,D6-D9-D10-D11-D12)</x:f>
        <x:v>7.5000000000000036</x:v>
      </x:c>
      <x:c r="E13" s="240" t="n">
        <x:v>0</x:v>
      </x:c>
      <x:c r="F13" s="240" t="n">
        <x:v>0</x:v>
      </x:c>
      <x:c r="G13" s="240" t="n">
        <x:v>0</x:v>
      </x:c>
      <x:c r="H13" s="240" t="n">
        <x:v>0</x:v>
      </x:c>
      <x:c r="I13" s="240" t="n">
        <x:v>0</x:v>
      </x:c>
      <x:c r="J13" s="240" t="n">
        <x:v>0</x:v>
      </x:c>
      <x:c r="K13" s="240" t="n">
        <x:v>0</x:v>
      </x:c>
      <x:c r="L13" s="240" t="n">
        <x:v>0</x:v>
      </x:c>
      <x:c r="M13" s="240" t="n">
        <x:v>0</x:v>
      </x:c>
      <x:c r="N13" s="240" t="n">
        <x:v>0</x:v>
      </x:c>
      <x:c r="O13" s="240" t="n">
        <x:v>0</x:v>
      </x:c>
      <x:c r="P13" s="240" t="n">
        <x:v>0</x:v>
      </x:c>
      <x:c r="Q13" s="240" t="n">
        <x:v>0</x:v>
      </x:c>
      <x:c r="R13" s="240" t="n">
        <x:v>0</x:v>
      </x:c>
      <x:c r="S13" s="240" t="n">
        <x:v>0</x:v>
      </x:c>
    </x:row>
    <x:row r="14">
      <x:c r="A14" s="239" t="str">
        <x:v>Projektová hotovost – konec roku</x:v>
      </x:c>
      <x:c r="B14" s="240" t="n">
        <x:f>MAX(0,B9+B10+B11+B12+B13-B6)</x:f>
        <x:v>20.5</x:v>
      </x:c>
      <x:c r="C14" s="240" t="n">
        <x:f>MAX(0,C9+C10+C11+C12+C13-C6)</x:f>
        <x:v>0</x:v>
      </x:c>
      <x:c r="D14" s="240" t="n">
        <x:f>MAX(0,D9+D10+D11+D12+D13-D6)</x:f>
        <x:v>0</x:v>
      </x:c>
      <x:c r="E14" s="240" t="n">
        <x:v>0</x:v>
      </x:c>
      <x:c r="F14" s="240" t="n">
        <x:v>0</x:v>
      </x:c>
      <x:c r="G14" s="240" t="n">
        <x:v>0</x:v>
      </x:c>
      <x:c r="H14" s="240" t="n">
        <x:v>0</x:v>
      </x:c>
      <x:c r="I14" s="240" t="n">
        <x:v>0</x:v>
      </x:c>
      <x:c r="J14" s="240" t="n">
        <x:v>0</x:v>
      </x:c>
      <x:c r="K14" s="240" t="n">
        <x:v>0</x:v>
      </x:c>
      <x:c r="L14" s="240" t="n">
        <x:v>0</x:v>
      </x:c>
      <x:c r="M14" s="240" t="n">
        <x:v>0</x:v>
      </x:c>
      <x:c r="N14" s="240" t="n">
        <x:v>0</x:v>
      </x:c>
      <x:c r="O14" s="240" t="n">
        <x:v>0</x:v>
      </x:c>
      <x:c r="P14" s="240" t="n">
        <x:v>0</x:v>
      </x:c>
      <x:c r="Q14" s="240" t="n">
        <x:v>0</x:v>
      </x:c>
      <x:c r="R14" s="240" t="n">
        <x:v>0</x:v>
      </x:c>
      <x:c r="S14" s="240" t="n">
        <x:v>0</x:v>
      </x:c>
    </x:row>
    <x:row r="15">
      <x:c r="A15" s="239"/>
      <x:c r="B15" s="240"/>
      <x:c r="C15" s="240"/>
      <x:c r="D15" s="240"/>
      <x:c r="E15" s="240"/>
      <x:c r="F15" s="240"/>
      <x:c r="G15" s="240"/>
      <x:c r="H15" s="240"/>
      <x:c r="I15" s="240"/>
      <x:c r="J15" s="240"/>
      <x:c r="K15" s="240"/>
      <x:c r="L15" s="240"/>
      <x:c r="M15" s="240"/>
      <x:c r="N15" s="240"/>
      <x:c r="O15" s="240"/>
      <x:c r="P15" s="240"/>
      <x:c r="Q15" s="240"/>
      <x:c r="R15" s="240"/>
      <x:c r="S15" s="240"/>
    </x:row>
    <x:row r="16">
      <x:c r="A16" s="125" t="str">
        <x:v>2. ÚVĚR A DLUHOVÁ SLUŽBA</x:v>
      </x:c>
      <x:c r="B16" s="127"/>
      <x:c r="C16" s="127"/>
      <x:c r="D16" s="127"/>
      <x:c r="E16" s="127"/>
      <x:c r="F16" s="127"/>
      <x:c r="G16" s="127"/>
      <x:c r="H16" s="127"/>
      <x:c r="I16" s="127"/>
      <x:c r="J16" s="127"/>
      <x:c r="K16" s="127"/>
      <x:c r="L16" s="127"/>
      <x:c r="M16" s="127"/>
      <x:c r="N16" s="127"/>
      <x:c r="O16" s="127"/>
      <x:c r="P16" s="127"/>
      <x:c r="Q16" s="127"/>
      <x:c r="R16" s="127"/>
      <x:c r="S16" s="127"/>
    </x:row>
    <x:row r="17">
      <x:c r="A17" s="239" t="str">
        <x:v>Počáteční zůstatek úvěru</x:v>
      </x:c>
      <x:c r="B17" s="240" t="n">
        <x:v>0</x:v>
      </x:c>
      <x:c r="C17" s="240" t="n">
        <x:v>0</x:v>
      </x:c>
      <x:c r="D17" s="240" t="n">
        <x:v>0</x:v>
      </x:c>
      <x:c r="E17" s="240" t="n">
        <x:f>'Předpoklady'!D9</x:f>
        <x:v>30.099999999999994</x:v>
      </x:c>
      <x:c r="F17" s="240" t="n">
        <x:f>E21</x:f>
        <x:v>28.70509714296174</x:v>
      </x:c>
      <x:c r="G17" s="240" t="n">
        <x:f>F21</x:f>
        <x:v>27.240449143071572</x:v>
      </x:c>
      <x:c r="H17" s="240" t="n">
        <x:f>G21</x:f>
        <x:v>25.702568743186895</x:v>
      </x:c>
      <x:c r="I17" s="240" t="n">
        <x:f>H21</x:f>
        <x:v>24.087794323307985</x:v>
      </x:c>
      <x:c r="J17" s="240" t="n">
        <x:f>I21</x:f>
        <x:v>22.39228118243513</x:v>
      </x:c>
      <x:c r="K17" s="240" t="n">
        <x:f>J21</x:f>
        <x:v>20.611992384518633</x:v>
      </x:c>
      <x:c r="L17" s="240" t="n">
        <x:f>K21</x:f>
        <x:v>18.742689146706308</x:v>
      </x:c>
      <x:c r="M17" s="240" t="n">
        <x:f>L21</x:f>
        <x:v>16.779920747003366</x:v>
      </x:c>
      <x:c r="N17" s="240" t="n">
        <x:f>M21</x:f>
        <x:v>14.719013927315281</x:v>
      </x:c>
      <x:c r="O17" s="240" t="n">
        <x:f>N21</x:f>
        <x:v>12.55506176664279</x:v>
      </x:c>
      <x:c r="P17" s="240" t="n">
        <x:f>O21</x:f>
        <x:v>10.282911997936676</x:v>
      </x:c>
      <x:c r="Q17" s="240" t="n">
        <x:f>P21</x:f>
        <x:v>7.897154740795255</x:v>
      </x:c>
      <x:c r="R17" s="240" t="n">
        <x:f>Q21</x:f>
        <x:v>5.392109620796763</x:v>
      </x:c>
      <x:c r="S17" s="240" t="n">
        <x:f>R21</x:f>
        <x:v>2.761812244798346</x:v>
      </x:c>
    </x:row>
    <x:row r="18">
      <x:c r="A18" s="239" t="str">
        <x:v>Úrok v roce</x:v>
      </x:c>
      <x:c r="B18" s="240" t="n">
        <x:v>0</x:v>
      </x:c>
      <x:c r="C18" s="240" t="n">
        <x:v>0</x:v>
      </x:c>
      <x:c r="D18" s="240" t="n">
        <x:v>0</x:v>
      </x:c>
      <x:c r="E18" s="240" t="n">
        <x:f>E17*'Předpoklady'!D11</x:f>
        <x:v>1.505</x:v>
      </x:c>
      <x:c r="F18" s="240" t="n">
        <x:f>F17*'Předpoklady'!D11</x:f>
        <x:v>1.4352548571480872</x:v>
      </x:c>
      <x:c r="G18" s="240" t="n">
        <x:f>G17*'Předpoklady'!D11</x:f>
        <x:v>1.3620224571535786</x:v>
      </x:c>
      <x:c r="H18" s="240" t="n">
        <x:f>H17*'Předpoklady'!D11</x:f>
        <x:v>1.2851284371593448</x:v>
      </x:c>
      <x:c r="I18" s="240" t="n">
        <x:f>I17*'Předpoklady'!D11</x:f>
        <x:v>1.2043897161653994</x:v>
      </x:c>
      <x:c r="J18" s="240" t="n">
        <x:f>J17*'Předpoklady'!D11</x:f>
        <x:v>1.1196140591217565</x:v>
      </x:c>
      <x:c r="K18" s="240" t="n">
        <x:f>K17*'Předpoklady'!D11</x:f>
        <x:v>1.0305996192259317</x:v>
      </x:c>
      <x:c r="L18" s="240" t="n">
        <x:f>L17*'Předpoklady'!D11</x:f>
        <x:v>0.9371344573353154</x:v>
      </x:c>
      <x:c r="M18" s="240" t="n">
        <x:f>M17*'Předpoklady'!D11</x:f>
        <x:v>0.8389960373501684</x:v>
      </x:c>
      <x:c r="N18" s="240" t="n">
        <x:f>N17*'Předpoklady'!D11</x:f>
        <x:v>0.735950696365764</x:v>
      </x:c>
      <x:c r="O18" s="240" t="n">
        <x:f>O17*'Předpoklady'!D11</x:f>
        <x:v>0.6277530883321396</x:v>
      </x:c>
      <x:c r="P18" s="240" t="n">
        <x:f>P17*'Předpoklady'!D11</x:f>
        <x:v>0.5141455998968338</x:v>
      </x:c>
      <x:c r="Q18" s="240" t="n">
        <x:f>Q17*'Předpoklady'!D11</x:f>
        <x:v>0.3948577370397628</x:v>
      </x:c>
      <x:c r="R18" s="240" t="n">
        <x:f>R17*'Předpoklady'!D11</x:f>
        <x:v>0.26960548103983817</x:v>
      </x:c>
      <x:c r="S18" s="240" t="n">
        <x:f>S17*'Předpoklady'!D11</x:f>
        <x:v>0.1380906122399173</x:v>
      </x:c>
    </x:row>
    <x:row r="19">
      <x:c r="A19" s="239" t="str">
        <x:v>Celková roční splátka</x:v>
      </x:c>
      <x:c r="B19" s="240" t="n">
        <x:v>0</x:v>
      </x:c>
      <x:c r="C19" s="240" t="n">
        <x:v>0</x:v>
      </x:c>
      <x:c r="D19" s="240" t="n">
        <x:v>0</x:v>
      </x:c>
      <x:c r="E19" s="240" t="n">
        <x:f>-PMT('Předpoklady'!D11,'Předpoklady'!D10,'Předpoklady'!D9)</x:f>
        <x:v>2.899902857038255</x:v>
      </x:c>
      <x:c r="F19" s="240" t="n">
        <x:f>-PMT('Předpoklady'!D11,'Předpoklady'!D10,'Předpoklady'!D9)</x:f>
        <x:v>2.899902857038255</x:v>
      </x:c>
      <x:c r="G19" s="240" t="n">
        <x:f>-PMT('Předpoklady'!D11,'Předpoklady'!D10,'Předpoklady'!D9)</x:f>
        <x:v>2.899902857038255</x:v>
      </x:c>
      <x:c r="H19" s="240" t="n">
        <x:f>-PMT('Předpoklady'!D11,'Předpoklady'!D10,'Předpoklady'!D9)</x:f>
        <x:v>2.899902857038255</x:v>
      </x:c>
      <x:c r="I19" s="240" t="n">
        <x:f>-PMT('Předpoklady'!D11,'Předpoklady'!D10,'Předpoklady'!D9)</x:f>
        <x:v>2.899902857038255</x:v>
      </x:c>
      <x:c r="J19" s="240" t="n">
        <x:f>-PMT('Předpoklady'!D11,'Předpoklady'!D10,'Předpoklady'!D9)</x:f>
        <x:v>2.899902857038255</x:v>
      </x:c>
      <x:c r="K19" s="240" t="n">
        <x:f>-PMT('Předpoklady'!D11,'Předpoklady'!D10,'Předpoklady'!D9)</x:f>
        <x:v>2.899902857038255</x:v>
      </x:c>
      <x:c r="L19" s="240" t="n">
        <x:f>-PMT('Předpoklady'!D11,'Předpoklady'!D10,'Předpoklady'!D9)</x:f>
        <x:v>2.899902857038255</x:v>
      </x:c>
      <x:c r="M19" s="240" t="n">
        <x:f>-PMT('Předpoklady'!D11,'Předpoklady'!D10,'Předpoklady'!D9)</x:f>
        <x:v>2.899902857038255</x:v>
      </x:c>
      <x:c r="N19" s="240" t="n">
        <x:f>-PMT('Předpoklady'!D11,'Předpoklady'!D10,'Předpoklady'!D9)</x:f>
        <x:v>2.899902857038255</x:v>
      </x:c>
      <x:c r="O19" s="240" t="n">
        <x:f>-PMT('Předpoklady'!D11,'Předpoklady'!D10,'Předpoklady'!D9)</x:f>
        <x:v>2.899902857038255</x:v>
      </x:c>
      <x:c r="P19" s="240" t="n">
        <x:f>-PMT('Předpoklady'!D11,'Předpoklady'!D10,'Předpoklady'!D9)</x:f>
        <x:v>2.899902857038255</x:v>
      </x:c>
      <x:c r="Q19" s="240" t="n">
        <x:f>-PMT('Předpoklady'!D11,'Předpoklady'!D10,'Předpoklady'!D9)</x:f>
        <x:v>2.899902857038255</x:v>
      </x:c>
      <x:c r="R19" s="240" t="n">
        <x:f>-PMT('Předpoklady'!D11,'Předpoklady'!D10,'Předpoklady'!D9)</x:f>
        <x:v>2.899902857038255</x:v>
      </x:c>
      <x:c r="S19" s="240" t="n">
        <x:f>-PMT('Předpoklady'!D11,'Předpoklady'!D10,'Předpoklady'!D9)</x:f>
        <x:v>2.899902857038255</x:v>
      </x:c>
    </x:row>
    <x:row r="20">
      <x:c r="A20" s="239" t="str">
        <x:v>z toho jistina</x:v>
      </x:c>
      <x:c r="B20" s="240" t="n">
        <x:v>0</x:v>
      </x:c>
      <x:c r="C20" s="240" t="n">
        <x:v>0</x:v>
      </x:c>
      <x:c r="D20" s="240" t="n">
        <x:v>0</x:v>
      </x:c>
      <x:c r="E20" s="240" t="n">
        <x:f>E19-E18</x:f>
        <x:v>1.3949028570382551</x:v>
      </x:c>
      <x:c r="F20" s="240" t="n">
        <x:f>F19-F18</x:f>
        <x:v>1.4646479998901678</x:v>
      </x:c>
      <x:c r="G20" s="240" t="n">
        <x:f>G19-G18</x:f>
        <x:v>1.5378803998846764</x:v>
      </x:c>
      <x:c r="H20" s="240" t="n">
        <x:f>H19-H18</x:f>
        <x:v>1.6147744198789102</x:v>
      </x:c>
      <x:c r="I20" s="240" t="n">
        <x:f>I19-I18</x:f>
        <x:v>1.6955131408728557</x:v>
      </x:c>
      <x:c r="J20" s="240" t="n">
        <x:f>J19-J18</x:f>
        <x:v>1.7802887979164985</x:v>
      </x:c>
      <x:c r="K20" s="240" t="n">
        <x:f>K19-K18</x:f>
        <x:v>1.8693032378123233</x:v>
      </x:c>
      <x:c r="L20" s="240" t="n">
        <x:f>L19-L18</x:f>
        <x:v>1.9627683997029397</x:v>
      </x:c>
      <x:c r="M20" s="240" t="n">
        <x:f>M19-M18</x:f>
        <x:v>2.0609068196880864</x:v>
      </x:c>
      <x:c r="N20" s="240" t="n">
        <x:f>N19-N18</x:f>
        <x:v>2.163952160672491</x:v>
      </x:c>
      <x:c r="O20" s="240" t="n">
        <x:f>O19-O18</x:f>
        <x:v>2.2721497687061154</x:v>
      </x:c>
      <x:c r="P20" s="240" t="n">
        <x:f>P19-P18</x:f>
        <x:v>2.385757257141421</x:v>
      </x:c>
      <x:c r="Q20" s="240" t="n">
        <x:f>Q19-Q18</x:f>
        <x:v>2.505045119998492</x:v>
      </x:c>
      <x:c r="R20" s="240" t="n">
        <x:f>R19-R18</x:f>
        <x:v>2.630297375998417</x:v>
      </x:c>
      <x:c r="S20" s="240" t="n">
        <x:f>S19-S18</x:f>
        <x:v>2.7618122447983375</x:v>
      </x:c>
    </x:row>
    <x:row r="21">
      <x:c r="A21" s="239" t="str">
        <x:v>Konečný zůstatek úvěru</x:v>
      </x:c>
      <x:c r="B21" s="240" t="n">
        <x:v>0</x:v>
      </x:c>
      <x:c r="C21" s="240" t="n">
        <x:v>0</x:v>
      </x:c>
      <x:c r="D21" s="240" t="n">
        <x:v>0</x:v>
      </x:c>
      <x:c r="E21" s="240" t="n">
        <x:f>MAX(0,E17-E20)</x:f>
        <x:v>28.70509714296174</x:v>
      </x:c>
      <x:c r="F21" s="240" t="n">
        <x:f>MAX(0,F17-F20)</x:f>
        <x:v>27.240449143071572</x:v>
      </x:c>
      <x:c r="G21" s="240" t="n">
        <x:f>MAX(0,G17-G20)</x:f>
        <x:v>25.702568743186895</x:v>
      </x:c>
      <x:c r="H21" s="240" t="n">
        <x:f>MAX(0,H17-H20)</x:f>
        <x:v>24.087794323307985</x:v>
      </x:c>
      <x:c r="I21" s="240" t="n">
        <x:f>MAX(0,I17-I20)</x:f>
        <x:v>22.39228118243513</x:v>
      </x:c>
      <x:c r="J21" s="240" t="n">
        <x:f>MAX(0,J17-J20)</x:f>
        <x:v>20.611992384518633</x:v>
      </x:c>
      <x:c r="K21" s="240" t="n">
        <x:f>MAX(0,K17-K20)</x:f>
        <x:v>18.742689146706308</x:v>
      </x:c>
      <x:c r="L21" s="240" t="n">
        <x:f>MAX(0,L17-L20)</x:f>
        <x:v>16.779920747003366</x:v>
      </x:c>
      <x:c r="M21" s="240" t="n">
        <x:f>MAX(0,M17-M20)</x:f>
        <x:v>14.719013927315281</x:v>
      </x:c>
      <x:c r="N21" s="240" t="n">
        <x:f>MAX(0,N17-N20)</x:f>
        <x:v>12.55506176664279</x:v>
      </x:c>
      <x:c r="O21" s="240" t="n">
        <x:f>MAX(0,O17-O20)</x:f>
        <x:v>10.282911997936676</x:v>
      </x:c>
      <x:c r="P21" s="240" t="n">
        <x:f>MAX(0,P17-P20)</x:f>
        <x:v>7.897154740795255</x:v>
      </x:c>
      <x:c r="Q21" s="240" t="n">
        <x:f>MAX(0,Q17-Q20)</x:f>
        <x:v>5.392109620796763</x:v>
      </x:c>
      <x:c r="R21" s="240" t="n">
        <x:f>MAX(0,R17-R20)</x:f>
        <x:v>2.761812244798346</x:v>
      </x:c>
      <x:c r="S21" s="240" t="n">
        <x:f>MAX(0,S17-S20)</x:f>
        <x:v>8.43769498715119e-15</x:v>
      </x:c>
    </x:row>
    <x:row r="22">
      <x:c r="A22" s="239"/>
      <x:c r="B22" s="240"/>
      <x:c r="C22" s="240"/>
      <x:c r="D22" s="240"/>
      <x:c r="E22" s="240"/>
      <x:c r="F22" s="240"/>
      <x:c r="G22" s="240"/>
      <x:c r="H22" s="240"/>
      <x:c r="I22" s="240"/>
      <x:c r="J22" s="240"/>
      <x:c r="K22" s="240"/>
      <x:c r="L22" s="240"/>
      <x:c r="M22" s="240"/>
      <x:c r="N22" s="240"/>
      <x:c r="O22" s="240"/>
      <x:c r="P22" s="240"/>
      <x:c r="Q22" s="240"/>
      <x:c r="R22" s="240"/>
      <x:c r="S22" s="240"/>
    </x:row>
    <x:row r="23">
      <x:c r="A23" s="125" t="str">
        <x:v>3. PROVOZ ŠKOLY A MOŽNÉ KOMPENZACE</x:v>
      </x:c>
      <x:c r="B23" s="127"/>
      <x:c r="C23" s="127"/>
      <x:c r="D23" s="127"/>
      <x:c r="E23" s="127"/>
      <x:c r="F23" s="127"/>
      <x:c r="G23" s="127"/>
      <x:c r="H23" s="127"/>
      <x:c r="I23" s="127"/>
      <x:c r="J23" s="127"/>
      <x:c r="K23" s="127"/>
      <x:c r="L23" s="127"/>
      <x:c r="M23" s="127"/>
      <x:c r="N23" s="127"/>
      <x:c r="O23" s="127"/>
      <x:c r="P23" s="127"/>
      <x:c r="Q23" s="127"/>
      <x:c r="R23" s="127"/>
      <x:c r="S23" s="127"/>
    </x:row>
    <x:row r="24">
      <x:c r="A24" s="239" t="str">
        <x:v>Modelový počet žáků 2. stupně</x:v>
      </x:c>
      <x:c r="B24" s="243" t="n">
        <x:v>0</x:v>
      </x:c>
      <x:c r="C24" s="243" t="n">
        <x:v>0</x:v>
      </x:c>
      <x:c r="D24" s="243" t="n">
        <x:v>0</x:v>
      </x:c>
      <x:c r="E24" s="243" t="n">
        <x:f>'Demografie a RUD'!F7</x:f>
        <x:v>36.25</x:v>
      </x:c>
      <x:c r="F24" s="243" t="n">
        <x:f>'Demografie a RUD'!F8</x:f>
        <x:v>75</x:v>
      </x:c>
      <x:c r="G24" s="243" t="n">
        <x:f>'Demografie a RUD'!F9</x:f>
        <x:v>110.25</x:v>
      </x:c>
      <x:c r="H24" s="243" t="n">
        <x:f>'Demografie a RUD'!F10</x:f>
        <x:v>144</x:v>
      </x:c>
      <x:c r="I24" s="243" t="n">
        <x:f>'Demografie a RUD'!F11</x:f>
        <x:v>141</x:v>
      </x:c>
      <x:c r="J24" s="243" t="n">
        <x:f>'Demografie a RUD'!F12</x:f>
        <x:v>138</x:v>
      </x:c>
      <x:c r="K24" s="243" t="n">
        <x:f>'Demografie a RUD'!F13</x:f>
        <x:v>135</x:v>
      </x:c>
      <x:c r="L24" s="243" t="n">
        <x:f>'Demografie a RUD'!F14</x:f>
        <x:v>132</x:v>
      </x:c>
      <x:c r="M24" s="243" t="n">
        <x:f>'Demografie a RUD'!F15</x:f>
        <x:v>129</x:v>
      </x:c>
      <x:c r="N24" s="243" t="n">
        <x:f>'Demografie a RUD'!F16</x:f>
        <x:v>126</x:v>
      </x:c>
      <x:c r="O24" s="243" t="n">
        <x:f>'Demografie a RUD'!F17</x:f>
        <x:v>123</x:v>
      </x:c>
      <x:c r="P24" s="243" t="n">
        <x:f>'Demografie a RUD'!F18</x:f>
        <x:v>120</x:v>
      </x:c>
      <x:c r="Q24" s="243" t="n">
        <x:f>'Demografie a RUD'!F19</x:f>
        <x:v>120</x:v>
      </x:c>
      <x:c r="R24" s="243" t="n">
        <x:f>'Demografie a RUD'!F20</x:f>
        <x:v>120</x:v>
      </x:c>
      <x:c r="S24" s="243" t="n">
        <x:f>'Demografie a RUD'!F21</x:f>
        <x:v>120</x:v>
      </x:c>
    </x:row>
    <x:row r="25">
      <x:c r="A25" s="239" t="str">
        <x:v>Nepedagogičtí pracovníci</x:v>
      </x:c>
      <x:c r="B25" s="240" t="n">
        <x:v>0</x:v>
      </x:c>
      <x:c r="C25" s="240" t="n">
        <x:v>0</x:v>
      </x:c>
      <x:c r="D25" s="240" t="n">
        <x:v>0</x:v>
      </x:c>
      <x:c r="E25" s="240" t="n">
        <x:f>'Předpoklady'!D13*(1+'Předpoklady'!D18)^0</x:f>
        <x:v>1</x:v>
      </x:c>
      <x:c r="F25" s="240" t="n">
        <x:f>'Předpoklady'!D13*(1+'Předpoklady'!D18)^1</x:f>
        <x:v>1.02</x:v>
      </x:c>
      <x:c r="G25" s="240" t="n">
        <x:f>'Předpoklady'!D13*(1+'Předpoklady'!D18)^2</x:f>
        <x:v>1.0404</x:v>
      </x:c>
      <x:c r="H25" s="240" t="n">
        <x:f>'Předpoklady'!D13*(1+'Předpoklady'!D18)^3</x:f>
        <x:v>1.061208</x:v>
      </x:c>
      <x:c r="I25" s="240" t="n">
        <x:f>'Předpoklady'!D13*(1+'Předpoklady'!D18)^4</x:f>
        <x:v>1.08243216</x:v>
      </x:c>
      <x:c r="J25" s="240" t="n">
        <x:f>'Předpoklady'!D13*(1+'Předpoklady'!D18)^5</x:f>
        <x:v>1.1040808032</x:v>
      </x:c>
      <x:c r="K25" s="240" t="n">
        <x:f>'Předpoklady'!D13*(1+'Předpoklady'!D18)^6</x:f>
        <x:v>1.126162419264</x:v>
      </x:c>
      <x:c r="L25" s="240" t="n">
        <x:f>'Předpoklady'!D13*(1+'Předpoklady'!D18)^7</x:f>
        <x:v>1.1486856676492798</x:v>
      </x:c>
      <x:c r="M25" s="240" t="n">
        <x:f>'Předpoklady'!D13*(1+'Předpoklady'!D18)^8</x:f>
        <x:v>1.1716593810022655</x:v>
      </x:c>
      <x:c r="N25" s="240" t="n">
        <x:f>'Předpoklady'!D13*(1+'Předpoklady'!D18)^9</x:f>
        <x:v>1.1950925686223108</x:v>
      </x:c>
      <x:c r="O25" s="240" t="n">
        <x:f>'Předpoklady'!D13*(1+'Předpoklady'!D18)^10</x:f>
        <x:v>1.218994419994757</x:v>
      </x:c>
      <x:c r="P25" s="240" t="n">
        <x:f>'Předpoklady'!D13*(1+'Předpoklady'!D18)^11</x:f>
        <x:v>1.243374308394652</x:v>
      </x:c>
      <x:c r="Q25" s="240" t="n">
        <x:f>'Předpoklady'!D13*(1+'Předpoklady'!D18)^12</x:f>
        <x:v>1.2682417945625453</x:v>
      </x:c>
      <x:c r="R25" s="240" t="n">
        <x:f>'Předpoklady'!D13*(1+'Předpoklady'!D18)^13</x:f>
        <x:v>1.293606630453796</x:v>
      </x:c>
      <x:c r="S25" s="240" t="n">
        <x:f>'Předpoklady'!D13*(1+'Předpoklady'!D18)^14</x:f>
        <x:v>1.3194787630628722</x:v>
      </x:c>
    </x:row>
    <x:row r="26">
      <x:c r="A26" s="239" t="str">
        <x:v>Energie a média</x:v>
      </x:c>
      <x:c r="B26" s="240" t="n">
        <x:v>0</x:v>
      </x:c>
      <x:c r="C26" s="240" t="n">
        <x:v>0</x:v>
      </x:c>
      <x:c r="D26" s="240" t="n">
        <x:v>0</x:v>
      </x:c>
      <x:c r="E26" s="240" t="n">
        <x:f>'Předpoklady'!D14*(1+'Předpoklady'!D18)^0</x:f>
        <x:v>1.2</x:v>
      </x:c>
      <x:c r="F26" s="240" t="n">
        <x:f>'Předpoklady'!D14*(1+'Předpoklady'!D18)^1</x:f>
        <x:v>1.224</x:v>
      </x:c>
      <x:c r="G26" s="240" t="n">
        <x:f>'Předpoklady'!D14*(1+'Předpoklady'!D18)^2</x:f>
        <x:v>1.24848</x:v>
      </x:c>
      <x:c r="H26" s="240" t="n">
        <x:f>'Předpoklady'!D14*(1+'Předpoklady'!D18)^3</x:f>
        <x:v>1.2734496</x:v>
      </x:c>
      <x:c r="I26" s="240" t="n">
        <x:f>'Předpoklady'!D14*(1+'Předpoklady'!D18)^4</x:f>
        <x:v>1.298918592</x:v>
      </x:c>
      <x:c r="J26" s="240" t="n">
        <x:f>'Předpoklady'!D14*(1+'Předpoklady'!D18)^5</x:f>
        <x:v>1.3248969638399999</x:v>
      </x:c>
      <x:c r="K26" s="240" t="n">
        <x:f>'Předpoklady'!D14*(1+'Předpoklady'!D18)^6</x:f>
        <x:v>1.3513949031168</x:v>
      </x:c>
      <x:c r="L26" s="240" t="n">
        <x:f>'Předpoklady'!D14*(1+'Předpoklady'!D18)^7</x:f>
        <x:v>1.3784228011791357</x:v>
      </x:c>
      <x:c r="M26" s="240" t="n">
        <x:f>'Předpoklady'!D14*(1+'Předpoklady'!D18)^8</x:f>
        <x:v>1.4059912572027187</x:v>
      </x:c>
      <x:c r="N26" s="240" t="n">
        <x:f>'Předpoklady'!D14*(1+'Předpoklady'!D18)^9</x:f>
        <x:v>1.4341110823467729</x:v>
      </x:c>
      <x:c r="O26" s="240" t="n">
        <x:f>'Předpoklady'!D14*(1+'Předpoklady'!D18)^10</x:f>
        <x:v>1.4627933039937084</x:v>
      </x:c>
      <x:c r="P26" s="240" t="n">
        <x:f>'Předpoklady'!D14*(1+'Předpoklady'!D18)^11</x:f>
        <x:v>1.4920491700735823</x:v>
      </x:c>
      <x:c r="Q26" s="240" t="n">
        <x:f>'Předpoklady'!D14*(1+'Předpoklady'!D18)^12</x:f>
        <x:v>1.5218901534750542</x:v>
      </x:c>
      <x:c r="R26" s="240" t="n">
        <x:f>'Předpoklady'!D14*(1+'Předpoklady'!D18)^13</x:f>
        <x:v>1.5523279565445554</x:v>
      </x:c>
      <x:c r="S26" s="240" t="n">
        <x:f>'Předpoklady'!D14*(1+'Předpoklady'!D18)^14</x:f>
        <x:v>1.5833745156754466</x:v>
      </x:c>
    </x:row>
    <x:row r="27">
      <x:c r="A27" s="239" t="str">
        <x:v>Servis technologií a revize</x:v>
      </x:c>
      <x:c r="B27" s="240" t="n">
        <x:v>0</x:v>
      </x:c>
      <x:c r="C27" s="240" t="n">
        <x:v>0</x:v>
      </x:c>
      <x:c r="D27" s="240" t="n">
        <x:v>0</x:v>
      </x:c>
      <x:c r="E27" s="240" t="n">
        <x:f>'Předpoklady'!D15*(1+'Předpoklady'!D18)^0</x:f>
        <x:v>0.4</x:v>
      </x:c>
      <x:c r="F27" s="240" t="n">
        <x:f>'Předpoklady'!D15*(1+'Předpoklady'!D18)^1</x:f>
        <x:v>0.40800000000000003</x:v>
      </x:c>
      <x:c r="G27" s="240" t="n">
        <x:f>'Předpoklady'!D15*(1+'Předpoklady'!D18)^2</x:f>
        <x:v>0.41616000000000003</x:v>
      </x:c>
      <x:c r="H27" s="240" t="n">
        <x:f>'Předpoklady'!D15*(1+'Předpoklady'!D18)^3</x:f>
        <x:v>0.4244832</x:v>
      </x:c>
      <x:c r="I27" s="240" t="n">
        <x:f>'Předpoklady'!D15*(1+'Předpoklady'!D18)^4</x:f>
        <x:v>0.432972864</x:v>
      </x:c>
      <x:c r="J27" s="240" t="n">
        <x:f>'Předpoklady'!D15*(1+'Předpoklady'!D18)^5</x:f>
        <x:v>0.44163232128</x:v>
      </x:c>
      <x:c r="K27" s="240" t="n">
        <x:f>'Předpoklady'!D15*(1+'Předpoklady'!D18)^6</x:f>
        <x:v>0.4504649677056001</x:v>
      </x:c>
      <x:c r="L27" s="240" t="n">
        <x:f>'Předpoklady'!D15*(1+'Předpoklady'!D18)^7</x:f>
        <x:v>0.45947426705971195</x:v>
      </x:c>
      <x:c r="M27" s="240" t="n">
        <x:f>'Předpoklady'!D15*(1+'Předpoklady'!D18)^8</x:f>
        <x:v>0.46866375240090624</x:v>
      </x:c>
      <x:c r="N27" s="240" t="n">
        <x:f>'Předpoklady'!D15*(1+'Předpoklady'!D18)^9</x:f>
        <x:v>0.47803702744892435</x:v>
      </x:c>
      <x:c r="O27" s="240" t="n">
        <x:f>'Předpoklady'!D15*(1+'Předpoklady'!D18)^10</x:f>
        <x:v>0.4875977679979029</x:v>
      </x:c>
      <x:c r="P27" s="240" t="n">
        <x:f>'Předpoklady'!D15*(1+'Předpoklady'!D18)^11</x:f>
        <x:v>0.4973497233578608</x:v>
      </x:c>
      <x:c r="Q27" s="240" t="n">
        <x:f>'Předpoklady'!D15*(1+'Předpoklady'!D18)^12</x:f>
        <x:v>0.5072967178250182</x:v>
      </x:c>
      <x:c r="R27" s="240" t="n">
        <x:f>'Předpoklady'!D15*(1+'Předpoklady'!D18)^13</x:f>
        <x:v>0.5174426521815184</x:v>
      </x:c>
      <x:c r="S27" s="240" t="n">
        <x:f>'Předpoklady'!D15*(1+'Předpoklady'!D18)^14</x:f>
        <x:v>0.5277915052251488</x:v>
      </x:c>
    </x:row>
    <x:row r="28">
      <x:c r="A28" s="239" t="str">
        <x:v>Ostatní provoz</x:v>
      </x:c>
      <x:c r="B28" s="240" t="n">
        <x:v>0</x:v>
      </x:c>
      <x:c r="C28" s="240" t="n">
        <x:v>0</x:v>
      </x:c>
      <x:c r="D28" s="240" t="n">
        <x:v>0</x:v>
      </x:c>
      <x:c r="E28" s="240" t="n">
        <x:f>'Předpoklady'!D16*(1+'Předpoklady'!D18)^0</x:f>
        <x:v>0.5</x:v>
      </x:c>
      <x:c r="F28" s="240" t="n">
        <x:f>'Předpoklady'!D16*(1+'Předpoklady'!D18)^1</x:f>
        <x:v>0.51</x:v>
      </x:c>
      <x:c r="G28" s="240" t="n">
        <x:f>'Předpoklady'!D16*(1+'Předpoklady'!D18)^2</x:f>
        <x:v>0.5202</x:v>
      </x:c>
      <x:c r="H28" s="240" t="n">
        <x:f>'Předpoklady'!D16*(1+'Předpoklady'!D18)^3</x:f>
        <x:v>0.530604</x:v>
      </x:c>
      <x:c r="I28" s="240" t="n">
        <x:f>'Předpoklady'!D16*(1+'Předpoklady'!D18)^4</x:f>
        <x:v>0.54121608</x:v>
      </x:c>
      <x:c r="J28" s="240" t="n">
        <x:f>'Předpoklady'!D16*(1+'Předpoklady'!D18)^5</x:f>
        <x:v>0.5520404016</x:v>
      </x:c>
      <x:c r="K28" s="240" t="n">
        <x:f>'Předpoklady'!D16*(1+'Předpoklady'!D18)^6</x:f>
        <x:v>0.563081209632</x:v>
      </x:c>
      <x:c r="L28" s="240" t="n">
        <x:f>'Předpoklady'!D16*(1+'Předpoklady'!D18)^7</x:f>
        <x:v>0.5743428338246399</x:v>
      </x:c>
      <x:c r="M28" s="240" t="n">
        <x:f>'Předpoklady'!D16*(1+'Předpoklady'!D18)^8</x:f>
        <x:v>0.5858296905011328</x:v>
      </x:c>
      <x:c r="N28" s="240" t="n">
        <x:f>'Předpoklady'!D16*(1+'Předpoklady'!D18)^9</x:f>
        <x:v>0.5975462843111554</x:v>
      </x:c>
      <x:c r="O28" s="240" t="n">
        <x:f>'Předpoklady'!D16*(1+'Předpoklady'!D18)^10</x:f>
        <x:v>0.6094972099973786</x:v>
      </x:c>
      <x:c r="P28" s="240" t="n">
        <x:f>'Předpoklady'!D16*(1+'Předpoklady'!D18)^11</x:f>
        <x:v>0.621687154197326</x:v>
      </x:c>
      <x:c r="Q28" s="240" t="n">
        <x:f>'Předpoklady'!D16*(1+'Předpoklady'!D18)^12</x:f>
        <x:v>0.6341208972812726</x:v>
      </x:c>
      <x:c r="R28" s="240" t="n">
        <x:f>'Předpoklady'!D16*(1+'Předpoklady'!D18)^13</x:f>
        <x:v>0.646803315226898</x:v>
      </x:c>
      <x:c r="S28" s="240" t="n">
        <x:f>'Předpoklady'!D16*(1+'Předpoklady'!D18)^14</x:f>
        <x:v>0.6597393815314361</x:v>
      </x:c>
    </x:row>
    <x:row r="29">
      <x:c r="A29" s="239" t="str">
        <x:v>Údržba a opravy / rezerva obnovy</x:v>
      </x:c>
      <x:c r="B29" s="240" t="n">
        <x:v>0</x:v>
      </x:c>
      <x:c r="C29" s="240" t="n">
        <x:v>0</x:v>
      </x:c>
      <x:c r="D29" s="240" t="n">
        <x:v>0</x:v>
      </x:c>
      <x:c r="E29" s="240" t="n">
        <x:f>'Předpoklady'!D6*'Předpoklady'!D17*(1+'Předpoklady'!D18)^0</x:f>
        <x:v>1.0164</x:v>
      </x:c>
      <x:c r="F29" s="240" t="n">
        <x:f>'Předpoklady'!D6*'Předpoklady'!D17*(1+'Předpoklady'!D18)^1</x:f>
        <x:v>1.036728</x:v>
      </x:c>
      <x:c r="G29" s="240" t="n">
        <x:f>'Předpoklady'!D6*'Předpoklady'!D17*(1+'Předpoklady'!D18)^2</x:f>
        <x:v>1.05746256</x:v>
      </x:c>
      <x:c r="H29" s="240" t="n">
        <x:f>'Předpoklady'!D6*'Předpoklady'!D17*(1+'Předpoklady'!D18)^3</x:f>
        <x:v>1.0786118111999998</x:v>
      </x:c>
      <x:c r="I29" s="240" t="n">
        <x:f>'Předpoklady'!D6*'Předpoklady'!D17*(1+'Předpoklady'!D18)^4</x:f>
        <x:v>1.100184047424</x:v>
      </x:c>
      <x:c r="J29" s="240" t="n">
        <x:f>'Předpoklady'!D6*'Předpoklady'!D17*(1+'Předpoklady'!D18)^5</x:f>
        <x:v>1.12218772837248</x:v>
      </x:c>
      <x:c r="K29" s="240" t="n">
        <x:f>'Předpoklady'!D6*'Předpoklady'!D17*(1+'Předpoklady'!D18)^6</x:f>
        <x:v>1.1446314829399296</x:v>
      </x:c>
      <x:c r="L29" s="240" t="n">
        <x:f>'Předpoklady'!D6*'Předpoklady'!D17*(1+'Předpoklady'!D18)^7</x:f>
        <x:v>1.167524112598728</x:v>
      </x:c>
      <x:c r="M29" s="240" t="n">
        <x:f>'Předpoklady'!D6*'Předpoklady'!D17*(1+'Předpoklady'!D18)^8</x:f>
        <x:v>1.1908745948507027</x:v>
      </x:c>
      <x:c r="N29" s="240" t="n">
        <x:f>'Předpoklady'!D6*'Předpoklady'!D17*(1+'Předpoklady'!D18)^9</x:f>
        <x:v>1.2146920867477167</x:v>
      </x:c>
      <x:c r="O29" s="240" t="n">
        <x:f>'Předpoklady'!D6*'Předpoklady'!D17*(1+'Předpoklady'!D18)^10</x:f>
        <x:v>1.2389859284826712</x:v>
      </x:c>
      <x:c r="P29" s="240" t="n">
        <x:f>'Předpoklady'!D6*'Předpoklady'!D17*(1+'Předpoklady'!D18)^11</x:f>
        <x:v>1.2637656470523242</x:v>
      </x:c>
      <x:c r="Q29" s="240" t="n">
        <x:f>'Předpoklady'!D6*'Předpoklady'!D17*(1+'Předpoklady'!D18)^12</x:f>
        <x:v>1.289040959993371</x:v>
      </x:c>
      <x:c r="R29" s="240" t="n">
        <x:f>'Předpoklady'!D6*'Předpoklady'!D17*(1+'Předpoklady'!D18)^13</x:f>
        <x:v>1.3148217791932384</x:v>
      </x:c>
      <x:c r="S29" s="240" t="n">
        <x:f>'Předpoklady'!D6*'Předpoklady'!D17*(1+'Předpoklady'!D18)^14</x:f>
        <x:v>1.3411182147771032</x:v>
      </x:c>
    </x:row>
    <x:row r="30">
      <x:c r="A30" s="239" t="str">
        <x:v>Hrubé provozní náklady</x:v>
      </x:c>
      <x:c r="B30" s="240" t="n">
        <x:v>0</x:v>
      </x:c>
      <x:c r="C30" s="240" t="n">
        <x:v>0</x:v>
      </x:c>
      <x:c r="D30" s="240" t="n">
        <x:v>0</x:v>
      </x:c>
      <x:c r="E30" s="240" t="n">
        <x:f>SUM(E25:E29)</x:f>
        <x:v>4.1164000000000005</x:v>
      </x:c>
      <x:c r="F30" s="240" t="n">
        <x:f>SUM(F25:F29)</x:f>
        <x:v>4.198728</x:v>
      </x:c>
      <x:c r="G30" s="240" t="n">
        <x:f>SUM(G25:G29)</x:f>
        <x:v>4.28270256</x:v>
      </x:c>
      <x:c r="H30" s="240" t="n">
        <x:f>SUM(H25:H29)</x:f>
        <x:v>4.368356611199999</x:v>
      </x:c>
      <x:c r="I30" s="240" t="n">
        <x:f>SUM(I25:I29)</x:f>
        <x:v>4.455723743424</x:v>
      </x:c>
      <x:c r="J30" s="240" t="n">
        <x:f>SUM(J25:J29)</x:f>
        <x:v>4.5448382182924805</x:v>
      </x:c>
      <x:c r="K30" s="240" t="n">
        <x:f>SUM(K25:K29)</x:f>
        <x:v>4.63573498265833</x:v>
      </x:c>
      <x:c r="L30" s="240" t="n">
        <x:f>SUM(L25:L29)</x:f>
        <x:v>4.728449682311495</x:v>
      </x:c>
      <x:c r="M30" s="240" t="n">
        <x:f>SUM(M25:M29)</x:f>
        <x:v>4.823018675957726</x:v>
      </x:c>
      <x:c r="N30" s="240" t="n">
        <x:f>SUM(N25:N29)</x:f>
        <x:v>4.91947904947688</x:v>
      </x:c>
      <x:c r="O30" s="240" t="n">
        <x:f>SUM(O25:O29)</x:f>
        <x:v>5.017868630466419</x:v>
      </x:c>
      <x:c r="P30" s="240" t="n">
        <x:f>SUM(P25:P29)</x:f>
        <x:v>5.118226003075746</x:v>
      </x:c>
      <x:c r="Q30" s="240" t="n">
        <x:f>SUM(Q25:Q29)</x:f>
        <x:v>5.220590523137261</x:v>
      </x:c>
      <x:c r="R30" s="240" t="n">
        <x:f>SUM(R25:R29)</x:f>
        <x:v>5.325002333600006</x:v>
      </x:c>
      <x:c r="S30" s="240" t="n">
        <x:f>SUM(S25:S29)</x:f>
        <x:v>5.431502380272008</x:v>
      </x:c>
    </x:row>
    <x:row r="31">
      <x:c r="A31" s="239" t="str">
        <x:v>Modelovaná kompenzace RUD</x:v>
      </x:c>
      <x:c r="B31" s="240" t="n">
        <x:v>0</x:v>
      </x:c>
      <x:c r="C31" s="240" t="n">
        <x:v>0</x:v>
      </x:c>
      <x:c r="D31" s="240" t="n">
        <x:v>0</x:v>
      </x:c>
      <x:c r="E31" s="240" t="n">
        <x:f>'Demografie a RUD'!G7</x:f>
        <x:v>0.725</x:v>
      </x:c>
      <x:c r="F31" s="240" t="n">
        <x:f>'Demografie a RUD'!G8</x:f>
        <x:v>1.53</x:v>
      </x:c>
      <x:c r="G31" s="240" t="n">
        <x:f>'Demografie a RUD'!G9</x:f>
        <x:v>2.294082</x:v>
      </x:c>
      <x:c r="H31" s="240" t="n">
        <x:f>'Demografie a RUD'!G10</x:f>
        <x:v>3.0562790399999997</x:v>
      </x:c>
      <x:c r="I31" s="240" t="n">
        <x:f>'Demografie a RUD'!G11</x:f>
        <x:v>3.0524586911999996</x:v>
      </x:c>
      <x:c r="J31" s="240" t="n">
        <x:f>'Demografie a RUD'!G12</x:f>
        <x:v>3.047263016832</x:v>
      </x:c>
      <x:c r="K31" s="240" t="n">
        <x:f>'Demografie a RUD'!G13</x:f>
        <x:v>3.0406385320128004</x:v>
      </x:c>
      <x:c r="L31" s="240" t="n">
        <x:f>'Demografie a RUD'!G14</x:f>
        <x:v>3.032530162594099</x:v>
      </x:c>
      <x:c r="M31" s="240" t="n">
        <x:f>'Demografie a RUD'!G15</x:f>
        <x:v>3.022881202985845</x:v>
      </x:c>
      <x:c r="N31" s="240" t="n">
        <x:f>'Demografie a RUD'!G16</x:f>
        <x:v>3.0116332729282234</x:v>
      </x:c>
      <x:c r="O31" s="240" t="n">
        <x:f>'Demografie a RUD'!G17</x:f>
        <x:v>2.9987262731871023</x:v>
      </x:c>
      <x:c r="P31" s="240" t="n">
        <x:f>'Demografie a RUD'!G18</x:f>
        <x:v>2.9840983401471646</x:v>
      </x:c>
      <x:c r="Q31" s="240" t="n">
        <x:f>'Demografie a RUD'!G19</x:f>
        <x:v>3.0437803069501084</x:v>
      </x:c>
      <x:c r="R31" s="240" t="n">
        <x:f>'Demografie a RUD'!G20</x:f>
        <x:v>3.1046559130891107</x:v>
      </x:c>
      <x:c r="S31" s="240" t="n">
        <x:f>'Demografie a RUD'!G21</x:f>
        <x:v>3.1667490313508933</x:v>
      </x:c>
    </x:row>
    <x:row r="32">
      <x:c r="A32" s="239" t="str">
        <x:v>Úspora plateb Neratovicím</x:v>
      </x:c>
      <x:c r="B32" s="240" t="n">
        <x:v>0</x:v>
      </x:c>
      <x:c r="C32" s="240" t="n">
        <x:v>0</x:v>
      </x:c>
      <x:c r="D32" s="240" t="n">
        <x:v>0</x:v>
      </x:c>
      <x:c r="E32" s="240" t="n">
        <x:f>'Demografie a RUD'!H7</x:f>
        <x:v>0.29</x:v>
      </x:c>
      <x:c r="F32" s="240" t="n">
        <x:f>'Demografie a RUD'!H8</x:f>
        <x:v>0.536</x:v>
      </x:c>
      <x:c r="G32" s="240" t="n">
        <x:f>'Demografie a RUD'!H9</x:f>
        <x:v>0.536</x:v>
      </x:c>
      <x:c r="H32" s="240" t="n">
        <x:f>'Demografie a RUD'!H10</x:f>
        <x:v>0.536</x:v>
      </x:c>
      <x:c r="I32" s="240" t="n">
        <x:f>'Demografie a RUD'!H11</x:f>
        <x:v>0.536</x:v>
      </x:c>
      <x:c r="J32" s="240" t="n">
        <x:f>'Demografie a RUD'!H12</x:f>
        <x:v>0.536</x:v>
      </x:c>
      <x:c r="K32" s="240" t="n">
        <x:f>'Demografie a RUD'!H13</x:f>
        <x:v>0.536</x:v>
      </x:c>
      <x:c r="L32" s="240" t="n">
        <x:f>'Demografie a RUD'!H14</x:f>
        <x:v>0.536</x:v>
      </x:c>
      <x:c r="M32" s="240" t="n">
        <x:f>'Demografie a RUD'!H15</x:f>
        <x:v>0.536</x:v>
      </x:c>
      <x:c r="N32" s="240" t="n">
        <x:f>'Demografie a RUD'!H16</x:f>
        <x:v>0.536</x:v>
      </x:c>
      <x:c r="O32" s="240" t="n">
        <x:f>'Demografie a RUD'!H17</x:f>
        <x:v>0.536</x:v>
      </x:c>
      <x:c r="P32" s="240" t="n">
        <x:f>'Demografie a RUD'!H18</x:f>
        <x:v>0.536</x:v>
      </x:c>
      <x:c r="Q32" s="240" t="n">
        <x:f>'Demografie a RUD'!H19</x:f>
        <x:v>0.536</x:v>
      </x:c>
      <x:c r="R32" s="240" t="n">
        <x:f>'Demografie a RUD'!H20</x:f>
        <x:v>0.536</x:v>
      </x:c>
      <x:c r="S32" s="240" t="n">
        <x:f>'Demografie a RUD'!H21</x:f>
        <x:v>0.536</x:v>
      </x:c>
    </x:row>
    <x:row r="33">
      <x:c r="A33" s="239" t="str">
        <x:v>Čistý dodatečný provoz školy</x:v>
      </x:c>
      <x:c r="B33" s="240" t="n">
        <x:v>0</x:v>
      </x:c>
      <x:c r="C33" s="240" t="n">
        <x:v>0</x:v>
      </x:c>
      <x:c r="D33" s="240" t="n">
        <x:v>0</x:v>
      </x:c>
      <x:c r="E33" s="240" t="n">
        <x:f>MAX(0,E30-E31-E32)</x:f>
        <x:v>3.1014000000000004</x:v>
      </x:c>
      <x:c r="F33" s="240" t="n">
        <x:f>MAX(0,F30-F31-F32)</x:f>
        <x:v>2.1327279999999997</x:v>
      </x:c>
      <x:c r="G33" s="240" t="n">
        <x:f>MAX(0,G30-G31-G32)</x:f>
        <x:v>1.4526205599999997</x:v>
      </x:c>
      <x:c r="H33" s="240" t="n">
        <x:f>MAX(0,H30-H31-H32)</x:f>
        <x:v>0.7760775711999996</x:v>
      </x:c>
      <x:c r="I33" s="240" t="n">
        <x:f>MAX(0,I30-I31-I32)</x:f>
        <x:v>0.867265052224</x:v>
      </x:c>
      <x:c r="J33" s="240" t="n">
        <x:f>MAX(0,J30-J31-J32)</x:f>
        <x:v>0.9615752014604806</x:v>
      </x:c>
      <x:c r="K33" s="240" t="n">
        <x:f>MAX(0,K30-K31-K32)</x:f>
        <x:v>1.0590964506455296</x:v>
      </x:c>
      <x:c r="L33" s="240" t="n">
        <x:f>MAX(0,L30-L31-L32)</x:f>
        <x:v>1.1599195197173957</x:v>
      </x:c>
      <x:c r="M33" s="240" t="n">
        <x:f>MAX(0,M30-M31-M32)</x:f>
        <x:v>1.2641374729718806</x:v>
      </x:c>
      <x:c r="N33" s="240" t="n">
        <x:f>MAX(0,N30-N31-N32)</x:f>
        <x:v>1.371845776548657</x:v>
      </x:c>
      <x:c r="O33" s="240" t="n">
        <x:f>MAX(0,O30-O31-O32)</x:f>
        <x:v>1.4831423572793163</x:v>
      </x:c>
      <x:c r="P33" s="240" t="n">
        <x:f>MAX(0,P30-P31-P32)</x:f>
        <x:v>1.5981276629285812</x:v>
      </x:c>
      <x:c r="Q33" s="240" t="n">
        <x:f>MAX(0,Q30-Q31-Q32)</x:f>
        <x:v>1.6408102161871527</x:v>
      </x:c>
      <x:c r="R33" s="240" t="n">
        <x:f>MAX(0,R30-R31-R32)</x:f>
        <x:v>1.6843464205108951</x:v>
      </x:c>
      <x:c r="S33" s="240" t="n">
        <x:f>MAX(0,S30-S31-S32)</x:f>
        <x:v>1.7287533489211144</x:v>
      </x:c>
    </x:row>
    <x:row r="34">
      <x:c r="A34" s="239"/>
      <x:c r="B34" s="240"/>
      <x:c r="C34" s="240"/>
      <x:c r="D34" s="240"/>
      <x:c r="E34" s="240"/>
      <x:c r="F34" s="240"/>
      <x:c r="G34" s="240"/>
      <x:c r="H34" s="240"/>
      <x:c r="I34" s="240"/>
      <x:c r="J34" s="240"/>
      <x:c r="K34" s="240"/>
      <x:c r="L34" s="240"/>
      <x:c r="M34" s="240"/>
      <x:c r="N34" s="240"/>
      <x:c r="O34" s="240"/>
      <x:c r="P34" s="240"/>
      <x:c r="Q34" s="240"/>
      <x:c r="R34" s="240"/>
      <x:c r="S34" s="240"/>
    </x:row>
    <x:row r="35">
      <x:c r="A35" s="125" t="str">
        <x:v>4. ČISTÝ DOPAD NA ROZPOČET OBCE</x:v>
      </x:c>
      <x:c r="B35" s="127"/>
      <x:c r="C35" s="127"/>
      <x:c r="D35" s="127"/>
      <x:c r="E35" s="127"/>
      <x:c r="F35" s="127"/>
      <x:c r="G35" s="127"/>
      <x:c r="H35" s="127"/>
      <x:c r="I35" s="127"/>
      <x:c r="J35" s="127"/>
      <x:c r="K35" s="127"/>
      <x:c r="L35" s="127"/>
      <x:c r="M35" s="127"/>
      <x:c r="N35" s="127"/>
      <x:c r="O35" s="127"/>
      <x:c r="P35" s="127"/>
      <x:c r="Q35" s="127"/>
      <x:c r="R35" s="127"/>
      <x:c r="S35" s="127"/>
    </x:row>
    <x:row r="36">
      <x:c r="A36" s="239" t="str">
        <x:v>Přímé vlastní investiční zdroje + vybavení</x:v>
      </x:c>
      <x:c r="B36" s="240" t="n">
        <x:f>B7+B10+B11</x:f>
        <x:v>70.5</x:v>
      </x:c>
      <x:c r="C36" s="240" t="n">
        <x:f>C7+C10+C11</x:f>
        <x:v>6.9</x:v>
      </x:c>
      <x:c r="D36" s="240" t="n">
        <x:f>D7+D10+D11</x:f>
        <x:v>8.7</x:v>
      </x:c>
      <x:c r="E36" s="240" t="n">
        <x:f>E7+E10+E11</x:f>
        <x:v>1</x:v>
      </x:c>
      <x:c r="F36" s="240" t="n">
        <x:f>F7+F10+F11</x:f>
        <x:v>0</x:v>
      </x:c>
      <x:c r="G36" s="240" t="n">
        <x:f>G7+G10+G11</x:f>
        <x:v>0</x:v>
      </x:c>
      <x:c r="H36" s="240" t="n">
        <x:f>H7+H10+H11</x:f>
        <x:v>0</x:v>
      </x:c>
      <x:c r="I36" s="240" t="n">
        <x:f>I7+I10+I11</x:f>
        <x:v>0</x:v>
      </x:c>
      <x:c r="J36" s="240" t="n">
        <x:f>J7+J10+J11</x:f>
        <x:v>0</x:v>
      </x:c>
      <x:c r="K36" s="240" t="n">
        <x:f>K7+K10+K11</x:f>
        <x:v>0</x:v>
      </x:c>
      <x:c r="L36" s="240" t="n">
        <x:f>L7+L10+L11</x:f>
        <x:v>0</x:v>
      </x:c>
      <x:c r="M36" s="240" t="n">
        <x:f>M7+M10+M11</x:f>
        <x:v>0</x:v>
      </x:c>
      <x:c r="N36" s="240" t="n">
        <x:f>N7+N10+N11</x:f>
        <x:v>0</x:v>
      </x:c>
      <x:c r="O36" s="240" t="n">
        <x:f>O7+O10+O11</x:f>
        <x:v>0</x:v>
      </x:c>
      <x:c r="P36" s="240" t="n">
        <x:f>P7+P10+P11</x:f>
        <x:v>0</x:v>
      </x:c>
      <x:c r="Q36" s="240" t="n">
        <x:f>Q7+Q10+Q11</x:f>
        <x:v>0</x:v>
      </x:c>
      <x:c r="R36" s="240" t="n">
        <x:f>R7+R10+R11</x:f>
        <x:v>0</x:v>
      </x:c>
      <x:c r="S36" s="240" t="n">
        <x:f>S7+S10+S11</x:f>
        <x:v>0</x:v>
      </x:c>
    </x:row>
    <x:row r="37">
      <x:c r="A37" s="239" t="str">
        <x:v>Dluhová služba</x:v>
      </x:c>
      <x:c r="B37" s="240" t="n">
        <x:f>B19</x:f>
        <x:v>0</x:v>
      </x:c>
      <x:c r="C37" s="240" t="n">
        <x:f>C19</x:f>
        <x:v>0</x:v>
      </x:c>
      <x:c r="D37" s="240" t="n">
        <x:f>D19</x:f>
        <x:v>0</x:v>
      </x:c>
      <x:c r="E37" s="240" t="n">
        <x:f>E19</x:f>
        <x:v>2.899902857038255</x:v>
      </x:c>
      <x:c r="F37" s="240" t="n">
        <x:f>F19</x:f>
        <x:v>2.899902857038255</x:v>
      </x:c>
      <x:c r="G37" s="240" t="n">
        <x:f>G19</x:f>
        <x:v>2.899902857038255</x:v>
      </x:c>
      <x:c r="H37" s="240" t="n">
        <x:f>H19</x:f>
        <x:v>2.899902857038255</x:v>
      </x:c>
      <x:c r="I37" s="240" t="n">
        <x:f>I19</x:f>
        <x:v>2.899902857038255</x:v>
      </x:c>
      <x:c r="J37" s="240" t="n">
        <x:f>J19</x:f>
        <x:v>2.899902857038255</x:v>
      </x:c>
      <x:c r="K37" s="240" t="n">
        <x:f>K19</x:f>
        <x:v>2.899902857038255</x:v>
      </x:c>
      <x:c r="L37" s="240" t="n">
        <x:f>L19</x:f>
        <x:v>2.899902857038255</x:v>
      </x:c>
      <x:c r="M37" s="240" t="n">
        <x:f>M19</x:f>
        <x:v>2.899902857038255</x:v>
      </x:c>
      <x:c r="N37" s="240" t="n">
        <x:f>N19</x:f>
        <x:v>2.899902857038255</x:v>
      </x:c>
      <x:c r="O37" s="240" t="n">
        <x:f>O19</x:f>
        <x:v>2.899902857038255</x:v>
      </x:c>
      <x:c r="P37" s="240" t="n">
        <x:f>P19</x:f>
        <x:v>2.899902857038255</x:v>
      </x:c>
      <x:c r="Q37" s="240" t="n">
        <x:f>Q19</x:f>
        <x:v>2.899902857038255</x:v>
      </x:c>
      <x:c r="R37" s="240" t="n">
        <x:f>R19</x:f>
        <x:v>2.899902857038255</x:v>
      </x:c>
      <x:c r="S37" s="240" t="n">
        <x:f>S19</x:f>
        <x:v>2.899902857038255</x:v>
      </x:c>
    </x:row>
    <x:row r="38">
      <x:c r="A38" s="239" t="str">
        <x:v>Čistý dodatečný provoz</x:v>
      </x:c>
      <x:c r="B38" s="240" t="n">
        <x:f>B33</x:f>
        <x:v>0</x:v>
      </x:c>
      <x:c r="C38" s="240" t="n">
        <x:f>C33</x:f>
        <x:v>0</x:v>
      </x:c>
      <x:c r="D38" s="240" t="n">
        <x:f>D33</x:f>
        <x:v>0</x:v>
      </x:c>
      <x:c r="E38" s="240" t="n">
        <x:f>E33</x:f>
        <x:v>3.1014000000000004</x:v>
      </x:c>
      <x:c r="F38" s="240" t="n">
        <x:f>F33</x:f>
        <x:v>2.1327279999999997</x:v>
      </x:c>
      <x:c r="G38" s="240" t="n">
        <x:f>G33</x:f>
        <x:v>1.4526205599999997</x:v>
      </x:c>
      <x:c r="H38" s="240" t="n">
        <x:f>H33</x:f>
        <x:v>0.7760775711999996</x:v>
      </x:c>
      <x:c r="I38" s="240" t="n">
        <x:f>I33</x:f>
        <x:v>0.867265052224</x:v>
      </x:c>
      <x:c r="J38" s="240" t="n">
        <x:f>J33</x:f>
        <x:v>0.9615752014604806</x:v>
      </x:c>
      <x:c r="K38" s="240" t="n">
        <x:f>K33</x:f>
        <x:v>1.0590964506455296</x:v>
      </x:c>
      <x:c r="L38" s="240" t="n">
        <x:f>L33</x:f>
        <x:v>1.1599195197173957</x:v>
      </x:c>
      <x:c r="M38" s="240" t="n">
        <x:f>M33</x:f>
        <x:v>1.2641374729718806</x:v>
      </x:c>
      <x:c r="N38" s="240" t="n">
        <x:f>N33</x:f>
        <x:v>1.371845776548657</x:v>
      </x:c>
      <x:c r="O38" s="240" t="n">
        <x:f>O33</x:f>
        <x:v>1.4831423572793163</x:v>
      </x:c>
      <x:c r="P38" s="240" t="n">
        <x:f>P33</x:f>
        <x:v>1.5981276629285812</x:v>
      </x:c>
      <x:c r="Q38" s="240" t="n">
        <x:f>Q33</x:f>
        <x:v>1.6408102161871527</x:v>
      </x:c>
      <x:c r="R38" s="240" t="n">
        <x:f>R33</x:f>
        <x:v>1.6843464205108951</x:v>
      </x:c>
      <x:c r="S38" s="240" t="n">
        <x:f>S33</x:f>
        <x:v>1.7287533489211144</x:v>
      </x:c>
    </x:row>
    <x:row r="39">
      <x:c r="A39" s="244" t="str">
        <x:v>Celkový roční dopad školy na rozpočet obce</x:v>
      </x:c>
      <x:c r="B39" s="245" t="n">
        <x:f>SUM(B36:B38)</x:f>
        <x:v>70.5</x:v>
      </x:c>
      <x:c r="C39" s="245" t="n">
        <x:f>SUM(C36:C38)</x:f>
        <x:v>6.9</x:v>
      </x:c>
      <x:c r="D39" s="245" t="n">
        <x:f>SUM(D36:D38)</x:f>
        <x:v>8.7</x:v>
      </x:c>
      <x:c r="E39" s="245" t="n">
        <x:f>SUM(E36:E38)</x:f>
        <x:v>7.001302857038255</x:v>
      </x:c>
      <x:c r="F39" s="245" t="n">
        <x:f>SUM(F36:F38)</x:f>
        <x:v>5.032630857038255</x:v>
      </x:c>
      <x:c r="G39" s="245" t="n">
        <x:f>SUM(G36:G38)</x:f>
        <x:v>4.352523417038254</x:v>
      </x:c>
      <x:c r="H39" s="245" t="n">
        <x:f>SUM(H36:H38)</x:f>
        <x:v>3.6759804282382547</x:v>
      </x:c>
      <x:c r="I39" s="245" t="n">
        <x:f>SUM(I36:I38)</x:f>
        <x:v>3.767167909262255</x:v>
      </x:c>
      <x:c r="J39" s="245" t="n">
        <x:f>SUM(J36:J38)</x:f>
        <x:v>3.8614780584987356</x:v>
      </x:c>
      <x:c r="K39" s="245" t="n">
        <x:f>SUM(K36:K38)</x:f>
        <x:v>3.9589993076837846</x:v>
      </x:c>
      <x:c r="L39" s="245" t="n">
        <x:f>SUM(L36:L38)</x:f>
        <x:v>4.059822376755651</x:v>
      </x:c>
      <x:c r="M39" s="245" t="n">
        <x:f>SUM(M36:M38)</x:f>
        <x:v>4.164040330010136</x:v>
      </x:c>
      <x:c r="N39" s="245" t="n">
        <x:f>SUM(N36:N38)</x:f>
        <x:v>4.2717486335869115</x:v>
      </x:c>
      <x:c r="O39" s="245" t="n">
        <x:f>SUM(O36:O38)</x:f>
        <x:v>4.383045214317571</x:v>
      </x:c>
      <x:c r="P39" s="245" t="n">
        <x:f>SUM(P36:P38)</x:f>
        <x:v>4.498030519966836</x:v>
      </x:c>
      <x:c r="Q39" s="245" t="n">
        <x:f>SUM(Q36:Q38)</x:f>
        <x:v>4.540713073225408</x:v>
      </x:c>
      <x:c r="R39" s="245" t="n">
        <x:f>SUM(R36:R38)</x:f>
        <x:v>4.58424927754915</x:v>
      </x:c>
      <x:c r="S39" s="245" t="n">
        <x:f>SUM(S36:S38)</x:f>
        <x:v>4.62865620595937</x:v>
      </x:c>
    </x:row>
    <x:row r="40">
      <x:c r="A40" s="244" t="str">
        <x:v>Kumulativní dopad na rozpočet obce</x:v>
      </x:c>
      <x:c r="B40" s="245" t="n">
        <x:f>B39</x:f>
        <x:v>70.5</x:v>
      </x:c>
      <x:c r="C40" s="245" t="n">
        <x:f>B40+C39</x:f>
        <x:v>77.4</x:v>
      </x:c>
      <x:c r="D40" s="245" t="n">
        <x:f>C40+D39</x:f>
        <x:v>86.10000000000001</x:v>
      </x:c>
      <x:c r="E40" s="245" t="n">
        <x:f>D40+E39</x:f>
        <x:v>93.10130285703826</x:v>
      </x:c>
      <x:c r="F40" s="245" t="n">
        <x:f>E40+F39</x:f>
        <x:v>98.13393371407652</x:v>
      </x:c>
      <x:c r="G40" s="245" t="n">
        <x:f>F40+G39</x:f>
        <x:v>102.48645713111478</x:v>
      </x:c>
      <x:c r="H40" s="245" t="n">
        <x:f>G40+H39</x:f>
        <x:v>106.16243755935304</x:v>
      </x:c>
      <x:c r="I40" s="245" t="n">
        <x:f>H40+I39</x:f>
        <x:v>109.92960546861529</x:v>
      </x:c>
      <x:c r="J40" s="245" t="n">
        <x:f>I40+J39</x:f>
        <x:v>113.79108352711403</x:v>
      </x:c>
      <x:c r="K40" s="245" t="n">
        <x:f>J40+K39</x:f>
        <x:v>117.75008283479781</x:v>
      </x:c>
      <x:c r="L40" s="245" t="n">
        <x:f>K40+L39</x:f>
        <x:v>121.80990521155346</x:v>
      </x:c>
      <x:c r="M40" s="245" t="n">
        <x:f>L40+M39</x:f>
        <x:v>125.9739455415636</x:v>
      </x:c>
      <x:c r="N40" s="245" t="n">
        <x:f>M40+N39</x:f>
        <x:v>130.2456941751505</x:v>
      </x:c>
      <x:c r="O40" s="245" t="n">
        <x:f>N40+O39</x:f>
        <x:v>134.62873938946808</x:v>
      </x:c>
      <x:c r="P40" s="245" t="n">
        <x:f>O40+P39</x:f>
        <x:v>139.12676990943493</x:v>
      </x:c>
      <x:c r="Q40" s="245" t="n">
        <x:f>P40+Q39</x:f>
        <x:v>143.66748298266035</x:v>
      </x:c>
      <x:c r="R40" s="245" t="n">
        <x:f>Q40+R39</x:f>
        <x:v>148.2517322602095</x:v>
      </x:c>
      <x:c r="S40" s="245" t="n">
        <x:f>R40+S39</x:f>
        <x:v>152.88038846616888</x:v>
      </x:c>
    </x:row>
    <x:row r="41">
      <x:c r="A41" s="239"/>
      <x:c r="B41" s="240"/>
      <x:c r="C41" s="240"/>
      <x:c r="D41" s="240"/>
      <x:c r="E41" s="240"/>
      <x:c r="F41" s="240"/>
      <x:c r="G41" s="240"/>
      <x:c r="H41" s="240"/>
      <x:c r="I41" s="240"/>
      <x:c r="J41" s="240"/>
      <x:c r="K41" s="240"/>
      <x:c r="L41" s="240"/>
      <x:c r="M41" s="240"/>
      <x:c r="N41" s="240"/>
      <x:c r="O41" s="240"/>
      <x:c r="P41" s="240"/>
      <x:c r="Q41" s="240"/>
      <x:c r="R41" s="240"/>
      <x:c r="S41" s="240"/>
    </x:row>
    <x:row r="42">
      <x:c r="A42" s="239"/>
      <x:c r="B42" s="240"/>
      <x:c r="C42" s="240"/>
      <x:c r="D42" s="240"/>
      <x:c r="E42" s="240"/>
      <x:c r="F42" s="240"/>
      <x:c r="G42" s="240"/>
      <x:c r="H42" s="240"/>
      <x:c r="I42" s="240"/>
      <x:c r="J42" s="240"/>
      <x:c r="K42" s="240"/>
      <x:c r="L42" s="240"/>
      <x:c r="M42" s="240"/>
      <x:c r="N42" s="240"/>
      <x:c r="O42" s="240"/>
      <x:c r="P42" s="240"/>
      <x:c r="Q42" s="240"/>
      <x:c r="R42" s="240"/>
      <x:c r="S42" s="240"/>
    </x:row>
    <x:row r="43">
      <x:c r="A43" s="129" t="str">
        <x:v>KLÍČOVÉ VÝSLEDKY SCÉNÁŘE</x:v>
      </x:c>
      <x:c r="B43" s="130"/>
      <x:c r="C43" s="130"/>
      <x:c r="D43" s="130"/>
      <x:c r="E43" s="130"/>
      <x:c r="F43" s="130"/>
      <x:c r="G43" s="130"/>
      <x:c r="H43" s="130"/>
      <x:c r="I43" s="130"/>
      <x:c r="J43" s="130"/>
      <x:c r="K43" s="130"/>
      <x:c r="L43" s="130"/>
      <x:c r="M43" s="130"/>
      <x:c r="N43" s="130"/>
      <x:c r="O43" s="130"/>
      <x:c r="P43" s="130"/>
      <x:c r="Q43" s="130"/>
      <x:c r="R43" s="130"/>
      <x:c r="S43" s="130"/>
    </x:row>
    <x:row r="44">
      <x:c r="A44" s="244" t="str">
        <x:v>Cena stavebního díla po modelové rezervě</x:v>
      </x:c>
      <x:c r="B44" s="245" t="n">
        <x:f>'Předpoklady'!D6</x:f>
        <x:v>145.2</x:v>
      </x:c>
      <x:c r="C44" s="240"/>
      <x:c r="D44" s="119" t="str">
        <x:v>Interpretace: tento scénář je model citlivosti, ne rozpočet. Neznámé parametry (úrok, skutečné technologie, servis, harmonogram plateb, dotace a návštěvnost) musí vedení obce doložit konkrétními podklady. Model používá konzervativní RUD 20 tis. Kč na fyzického žáka podle vlastního podkladu obce, nikoli automaticky plný údaj MF 36,786 tis. Kč na přepočteného žáka.</x:v>
      </x:c>
      <x:c r="E44" s="119"/>
      <x:c r="F44" s="119"/>
      <x:c r="G44" s="119"/>
      <x:c r="H44" s="119"/>
      <x:c r="I44" s="119"/>
      <x:c r="J44" s="119"/>
      <x:c r="K44" s="119"/>
      <x:c r="L44" s="119"/>
      <x:c r="M44" s="119"/>
      <x:c r="N44" s="119"/>
      <x:c r="O44" s="119"/>
      <x:c r="P44" s="119"/>
      <x:c r="Q44" s="119"/>
      <x:c r="R44" s="119"/>
      <x:c r="S44" s="119"/>
    </x:row>
    <x:row r="45">
      <x:c r="A45" s="244" t="str">
        <x:v>Dotace</x:v>
      </x:c>
      <x:c r="B45" s="245" t="n">
        <x:f>'Předpoklady'!D8</x:f>
        <x:v>30</x:v>
      </x:c>
      <x:c r="C45" s="240"/>
      <x:c r="D45" s="119"/>
      <x:c r="E45" s="119"/>
      <x:c r="F45" s="119"/>
      <x:c r="G45" s="119"/>
      <x:c r="H45" s="119"/>
      <x:c r="I45" s="119"/>
      <x:c r="J45" s="119"/>
      <x:c r="K45" s="119"/>
      <x:c r="L45" s="119"/>
      <x:c r="M45" s="119"/>
      <x:c r="N45" s="119"/>
      <x:c r="O45" s="119"/>
      <x:c r="P45" s="119"/>
      <x:c r="Q45" s="119"/>
      <x:c r="R45" s="119"/>
      <x:c r="S45" s="119"/>
    </x:row>
    <x:row r="46">
      <x:c r="A46" s="244" t="str">
        <x:v>Úvěr – jistina</x:v>
      </x:c>
      <x:c r="B46" s="245" t="n">
        <x:f>'Předpoklady'!D9</x:f>
        <x:v>30.099999999999994</x:v>
      </x:c>
      <x:c r="C46" s="240"/>
      <x:c r="D46" s="119"/>
      <x:c r="E46" s="119"/>
      <x:c r="F46" s="119"/>
      <x:c r="G46" s="119"/>
      <x:c r="H46" s="119"/>
      <x:c r="I46" s="119"/>
      <x:c r="J46" s="119"/>
      <x:c r="K46" s="119"/>
      <x:c r="L46" s="119"/>
      <x:c r="M46" s="119"/>
      <x:c r="N46" s="119"/>
      <x:c r="O46" s="119"/>
      <x:c r="P46" s="119"/>
      <x:c r="Q46" s="119"/>
      <x:c r="R46" s="119"/>
      <x:c r="S46" s="119"/>
    </x:row>
    <x:row r="47">
      <x:c r="A47" s="244" t="str">
        <x:v>První plná roční splátka úvěru</x:v>
      </x:c>
      <x:c r="B47" s="245" t="n">
        <x:f>E19</x:f>
        <x:v>2.899902857038255</x:v>
      </x:c>
      <x:c r="C47" s="240"/>
      <x:c r="D47" s="119"/>
      <x:c r="E47" s="119"/>
      <x:c r="F47" s="119"/>
      <x:c r="G47" s="119"/>
      <x:c r="H47" s="119"/>
      <x:c r="I47" s="119"/>
      <x:c r="J47" s="119"/>
      <x:c r="K47" s="119"/>
      <x:c r="L47" s="119"/>
      <x:c r="M47" s="119"/>
      <x:c r="N47" s="119"/>
      <x:c r="O47" s="119"/>
      <x:c r="P47" s="119"/>
      <x:c r="Q47" s="119"/>
      <x:c r="R47" s="119"/>
      <x:c r="S47" s="119"/>
    </x:row>
    <x:row r="48">
      <x:c r="A48" s="244" t="str">
        <x:v>Celkové úroky za 15 let</x:v>
      </x:c>
      <x:c r="B48" s="245" t="n">
        <x:f>SUM(E18:S18)</x:f>
        <x:v>13.398542855573837</x:v>
      </x:c>
      <x:c r="C48" s="240"/>
      <x:c r="D48" s="119"/>
      <x:c r="E48" s="119"/>
      <x:c r="F48" s="119"/>
      <x:c r="G48" s="119"/>
      <x:c r="H48" s="119"/>
      <x:c r="I48" s="119"/>
      <x:c r="J48" s="119"/>
      <x:c r="K48" s="119"/>
      <x:c r="L48" s="119"/>
      <x:c r="M48" s="119"/>
      <x:c r="N48" s="119"/>
      <x:c r="O48" s="119"/>
      <x:c r="P48" s="119"/>
      <x:c r="Q48" s="119"/>
      <x:c r="R48" s="119"/>
      <x:c r="S48" s="119"/>
    </x:row>
    <x:row r="49">
      <x:c r="A49" s="244" t="str">
        <x:v>Celkem splátky úvěru (jistina + úroky)</x:v>
      </x:c>
      <x:c r="B49" s="245" t="n">
        <x:f>SUM(E19:S19)</x:f>
        <x:v>43.49854285557384</x:v>
      </x:c>
      <x:c r="C49" s="240"/>
      <x:c r="D49" s="119"/>
      <x:c r="E49" s="119"/>
      <x:c r="F49" s="119"/>
      <x:c r="G49" s="119"/>
      <x:c r="H49" s="119"/>
      <x:c r="I49" s="119"/>
      <x:c r="J49" s="119"/>
      <x:c r="K49" s="119"/>
      <x:c r="L49" s="119"/>
      <x:c r="M49" s="119"/>
      <x:c r="N49" s="119"/>
      <x:c r="O49" s="119"/>
      <x:c r="P49" s="119"/>
      <x:c r="Q49" s="119"/>
      <x:c r="R49" s="119"/>
      <x:c r="S49" s="119"/>
    </x:row>
    <x:row r="50">
      <x:c r="A50" s="244" t="str">
        <x:v>Vybavení</x:v>
      </x:c>
      <x:c r="B50" s="245" t="n">
        <x:f>SUM(B7:S7)</x:f>
        <x:v>2</x:v>
      </x:c>
      <x:c r="C50" s="240"/>
      <x:c r="D50" s="119"/>
      <x:c r="E50" s="119"/>
      <x:c r="F50" s="119"/>
      <x:c r="G50" s="119"/>
      <x:c r="H50" s="119"/>
      <x:c r="I50" s="119"/>
      <x:c r="J50" s="119"/>
      <x:c r="K50" s="119"/>
      <x:c r="L50" s="119"/>
      <x:c r="M50" s="119"/>
      <x:c r="N50" s="119"/>
      <x:c r="O50" s="119"/>
      <x:c r="P50" s="119"/>
      <x:c r="Q50" s="119"/>
      <x:c r="R50" s="119"/>
      <x:c r="S50" s="119"/>
    </x:row>
    <x:row r="51">
      <x:c r="A51" s="244" t="str">
        <x:v>Čistý investiční náklad obce po dotacích + úrocích</x:v>
      </x:c>
      <x:c r="B51" s="245" t="n">
        <x:f>B44-B45+B48+B50</x:f>
        <x:v>130.59854285557384</x:v>
      </x:c>
      <x:c r="C51" s="240"/>
      <x:c r="D51" s="119"/>
      <x:c r="E51" s="119"/>
      <x:c r="F51" s="119"/>
      <x:c r="G51" s="119"/>
      <x:c r="H51" s="119"/>
      <x:c r="I51" s="119"/>
      <x:c r="J51" s="119"/>
      <x:c r="K51" s="119"/>
      <x:c r="L51" s="119"/>
      <x:c r="M51" s="119"/>
      <x:c r="N51" s="119"/>
      <x:c r="O51" s="119"/>
      <x:c r="P51" s="119"/>
      <x:c r="Q51" s="119"/>
      <x:c r="R51" s="119"/>
      <x:c r="S51" s="119"/>
    </x:row>
    <x:row r="52">
      <x:c r="A52" s="244" t="str">
        <x:v>Hrubý provoz 2029–2043</x:v>
      </x:c>
      <x:c r="B52" s="245" t="n">
        <x:f>SUM(E30:S30)</x:f>
        <x:v>71.18662139387234</x:v>
      </x:c>
      <x:c r="C52" s="240"/>
      <x:c r="D52" s="119"/>
      <x:c r="E52" s="119"/>
      <x:c r="F52" s="119"/>
      <x:c r="G52" s="119"/>
      <x:c r="H52" s="119"/>
      <x:c r="I52" s="119"/>
      <x:c r="J52" s="119"/>
      <x:c r="K52" s="119"/>
      <x:c r="L52" s="119"/>
      <x:c r="M52" s="119"/>
      <x:c r="N52" s="119"/>
      <x:c r="O52" s="119"/>
      <x:c r="P52" s="119"/>
      <x:c r="Q52" s="119"/>
      <x:c r="R52" s="119"/>
      <x:c r="S52" s="119"/>
    </x:row>
    <x:row r="53">
      <x:c r="A53" s="244" t="str">
        <x:v>Možné kompenzace RUD + Neratovice</x:v>
      </x:c>
      <x:c r="B53" s="245" t="n">
        <x:f>SUM(E31:S32)</x:f>
        <x:v>48.90477578327737</x:v>
      </x:c>
      <x:c r="C53" s="240"/>
      <x:c r="D53" s="119"/>
      <x:c r="E53" s="119"/>
      <x:c r="F53" s="119"/>
      <x:c r="G53" s="119"/>
      <x:c r="H53" s="119"/>
      <x:c r="I53" s="119"/>
      <x:c r="J53" s="119"/>
      <x:c r="K53" s="119"/>
      <x:c r="L53" s="119"/>
      <x:c r="M53" s="119"/>
      <x:c r="N53" s="119"/>
      <x:c r="O53" s="119"/>
      <x:c r="P53" s="119"/>
      <x:c r="Q53" s="119"/>
      <x:c r="R53" s="119"/>
      <x:c r="S53" s="119"/>
    </x:row>
    <x:row r="54">
      <x:c r="A54" s="244" t="str">
        <x:v>Čistý provoz 2029–2043</x:v>
      </x:c>
      <x:c r="B54" s="245" t="n">
        <x:f>SUM(E33:S33)</x:f>
        <x:v>22.281845610595</x:v>
      </x:c>
      <x:c r="C54" s="240"/>
      <x:c r="D54" s="119"/>
      <x:c r="E54" s="119"/>
      <x:c r="F54" s="119"/>
      <x:c r="G54" s="119"/>
      <x:c r="H54" s="119"/>
      <x:c r="I54" s="119"/>
      <x:c r="J54" s="119"/>
      <x:c r="K54" s="119"/>
      <x:c r="L54" s="119"/>
      <x:c r="M54" s="119"/>
      <x:c r="N54" s="119"/>
      <x:c r="O54" s="119"/>
      <x:c r="P54" s="119"/>
      <x:c r="Q54" s="119"/>
      <x:c r="R54" s="119"/>
      <x:c r="S54" s="119"/>
    </x:row>
    <x:row r="55">
      <x:c r="A55" s="249" t="str">
        <x:v>Celkový čistý dopad na rozpočet obce do 2043</x:v>
      </x:c>
      <x:c r="B55" s="250" t="n">
        <x:f>B51+B54</x:f>
        <x:v>152.88038846616882</x:v>
      </x:c>
      <x:c r="C55" s="240"/>
      <x:c r="D55" s="119"/>
      <x:c r="E55" s="119"/>
      <x:c r="F55" s="119"/>
      <x:c r="G55" s="119"/>
      <x:c r="H55" s="119"/>
      <x:c r="I55" s="119"/>
      <x:c r="J55" s="119"/>
      <x:c r="K55" s="119"/>
      <x:c r="L55" s="119"/>
      <x:c r="M55" s="119"/>
      <x:c r="N55" s="119"/>
      <x:c r="O55" s="119"/>
      <x:c r="P55" s="119"/>
      <x:c r="Q55" s="119"/>
      <x:c r="R55" s="119"/>
      <x:c r="S55" s="119"/>
    </x:row>
  </x:sheetData>
  <x:mergeCells>
    <x:mergeCell ref="A1:S1"/>
    <x:mergeCell ref="A5:S5"/>
    <x:mergeCell ref="A16:S16"/>
    <x:mergeCell ref="A23:S23"/>
    <x:mergeCell ref="A35:S35"/>
    <x:mergeCell ref="A43:S43"/>
    <x:mergeCell ref="D44:S55"/>
  </x:mergeCells>
  <x:conditionalFormatting sqref="B39:S40">
    <x:cfRule type="expression" dxfId="0" priority="1">
      <x:formula>B39&lt;0</x:formula>
    </x:cfRule>
  </x:conditionalFormatting>
  <x:pageMargins left="0.7" right="0.7" top="0.75" bottom="0.75" header="0.3" footer="0.3"/>
</x:worksheet>
</file>

<file path=xl/worksheets/sheet5.xml><?xml version="1.0" encoding="utf-8"?>
<x:worksheet xmlns:x="http://schemas.openxmlformats.org/spreadsheetml/2006/main">
  <x:sheetFormatPr defaultRowHeight="15"/>
  <x:cols>
    <x:col min="1" max="1" width="43"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s>
  <x:sheetData>
    <x:row r="1" ht="28" customHeight="1">
      <x:c r="A1" s="26" t="str">
        <x:v>NORMAL – dlouhodobý cash-flow školy (mil. Kč)</x:v>
      </x:c>
      <x:c r="B1" s="26"/>
      <x:c r="C1" s="26"/>
      <x:c r="D1" s="26"/>
      <x:c r="E1" s="26"/>
      <x:c r="F1" s="26"/>
      <x:c r="G1" s="26"/>
      <x:c r="H1" s="26"/>
      <x:c r="I1" s="26"/>
      <x:c r="J1" s="26"/>
      <x:c r="K1" s="26"/>
      <x:c r="L1" s="26"/>
      <x:c r="M1" s="26"/>
      <x:c r="N1" s="26"/>
      <x:c r="O1" s="26"/>
      <x:c r="P1" s="26"/>
      <x:c r="Q1" s="26"/>
      <x:c r="R1" s="26"/>
      <x:c r="S1" s="26"/>
    </x:row>
    <x:row r="4">
      <x:c r="A4" s="123" t="str">
        <x:v>Položka</x:v>
      </x:c>
      <x:c r="B4" s="124" t="n">
        <x:v>2026</x:v>
      </x:c>
      <x:c r="C4" s="124" t="n">
        <x:v>2027</x:v>
      </x:c>
      <x:c r="D4" s="124" t="n">
        <x:v>2028</x:v>
      </x:c>
      <x:c r="E4" s="124" t="n">
        <x:v>2029</x:v>
      </x:c>
      <x:c r="F4" s="124" t="n">
        <x:v>2030</x:v>
      </x:c>
      <x:c r="G4" s="124" t="n">
        <x:v>2031</x:v>
      </x:c>
      <x:c r="H4" s="124" t="n">
        <x:v>2032</x:v>
      </x:c>
      <x:c r="I4" s="124" t="n">
        <x:v>2033</x:v>
      </x:c>
      <x:c r="J4" s="124" t="n">
        <x:v>2034</x:v>
      </x:c>
      <x:c r="K4" s="124" t="n">
        <x:v>2035</x:v>
      </x:c>
      <x:c r="L4" s="124" t="n">
        <x:v>2036</x:v>
      </x:c>
      <x:c r="M4" s="124" t="n">
        <x:v>2037</x:v>
      </x:c>
      <x:c r="N4" s="124" t="n">
        <x:v>2038</x:v>
      </x:c>
      <x:c r="O4" s="124" t="n">
        <x:v>2039</x:v>
      </x:c>
      <x:c r="P4" s="124" t="n">
        <x:v>2040</x:v>
      </x:c>
      <x:c r="Q4" s="124" t="n">
        <x:v>2041</x:v>
      </x:c>
      <x:c r="R4" s="124" t="n">
        <x:v>2042</x:v>
      </x:c>
      <x:c r="S4" s="124" t="n">
        <x:v>2043</x:v>
      </x:c>
    </x:row>
    <x:row r="5">
      <x:c r="A5" s="125" t="str">
        <x:v>1. INVESTICE A FINANCOVÁNÍ VÝSTAVBY</x:v>
      </x:c>
      <x:c r="B5" s="125"/>
      <x:c r="C5" s="125"/>
      <x:c r="D5" s="125"/>
      <x:c r="E5" s="125"/>
      <x:c r="F5" s="125"/>
      <x:c r="G5" s="125"/>
      <x:c r="H5" s="125"/>
      <x:c r="I5" s="125"/>
      <x:c r="J5" s="125"/>
      <x:c r="K5" s="125"/>
      <x:c r="L5" s="125"/>
      <x:c r="M5" s="125"/>
      <x:c r="N5" s="125"/>
      <x:c r="O5" s="125"/>
      <x:c r="P5" s="125"/>
      <x:c r="Q5" s="125"/>
      <x:c r="R5" s="125"/>
      <x:c r="S5" s="125"/>
    </x:row>
    <x:row r="6">
      <x:c r="A6" s="239" t="str">
        <x:v>Platby zhotoviteli (DEMO kalendář)</x:v>
      </x:c>
      <x:c r="B6" s="240" t="n">
        <x:f>50*'Předpoklady'!E6/'Předpoklady'!E4</x:f>
        <x:v>50</x:v>
      </x:c>
      <x:c r="C6" s="240" t="n">
        <x:f>60*'Předpoklady'!E6/'Předpoklady'!E4</x:f>
        <x:v>60.00000000000001</x:v>
      </x:c>
      <x:c r="D6" s="240" t="n">
        <x:f>35.2*'Předpoklady'!E6/'Předpoklady'!E4</x:f>
        <x:v>35.2</x:v>
      </x:c>
      <x:c r="E6" s="240" t="n">
        <x:v>0</x:v>
      </x:c>
      <x:c r="F6" s="240" t="n">
        <x:v>0</x:v>
      </x:c>
      <x:c r="G6" s="240" t="n">
        <x:v>0</x:v>
      </x:c>
      <x:c r="H6" s="240" t="n">
        <x:v>0</x:v>
      </x:c>
      <x:c r="I6" s="240" t="n">
        <x:v>0</x:v>
      </x:c>
      <x:c r="J6" s="240" t="n">
        <x:v>0</x:v>
      </x:c>
      <x:c r="K6" s="240" t="n">
        <x:v>0</x:v>
      </x:c>
      <x:c r="L6" s="240" t="n">
        <x:v>0</x:v>
      </x:c>
      <x:c r="M6" s="240" t="n">
        <x:v>0</x:v>
      </x:c>
      <x:c r="N6" s="240" t="n">
        <x:v>0</x:v>
      </x:c>
      <x:c r="O6" s="240" t="n">
        <x:v>0</x:v>
      </x:c>
      <x:c r="P6" s="240" t="n">
        <x:v>0</x:v>
      </x:c>
      <x:c r="Q6" s="240" t="n">
        <x:v>0</x:v>
      </x:c>
      <x:c r="R6" s="240" t="n">
        <x:v>0</x:v>
      </x:c>
      <x:c r="S6" s="240" t="n">
        <x:v>0</x:v>
      </x:c>
    </x:row>
    <x:row r="7">
      <x:c r="A7" s="239" t="str">
        <x:v>Vybavení školy</x:v>
      </x:c>
      <x:c r="B7" s="240" t="n">
        <x:v>0</x:v>
      </x:c>
      <x:c r="C7" s="240" t="n">
        <x:v>0</x:v>
      </x:c>
      <x:c r="D7" s="240" t="n">
        <x:v>1</x:v>
      </x:c>
      <x:c r="E7" s="240" t="n">
        <x:v>1</x:v>
      </x:c>
      <x:c r="F7" s="240" t="n">
        <x:v>1</x:v>
      </x:c>
      <x:c r="G7" s="240" t="n">
        <x:v>0</x:v>
      </x:c>
      <x:c r="H7" s="240" t="n">
        <x:v>0</x:v>
      </x:c>
      <x:c r="I7" s="240" t="n">
        <x:v>0</x:v>
      </x:c>
      <x:c r="J7" s="240" t="n">
        <x:v>0</x:v>
      </x:c>
      <x:c r="K7" s="240" t="n">
        <x:v>0</x:v>
      </x:c>
      <x:c r="L7" s="240" t="n">
        <x:v>0</x:v>
      </x:c>
      <x:c r="M7" s="240" t="n">
        <x:v>0</x:v>
      </x:c>
      <x:c r="N7" s="240" t="n">
        <x:v>0</x:v>
      </x:c>
      <x:c r="O7" s="240" t="n">
        <x:v>0</x:v>
      </x:c>
      <x:c r="P7" s="240" t="n">
        <x:v>0</x:v>
      </x:c>
      <x:c r="Q7" s="240" t="n">
        <x:v>0</x:v>
      </x:c>
      <x:c r="R7" s="240" t="n">
        <x:v>0</x:v>
      </x:c>
      <x:c r="S7" s="240" t="n">
        <x:v>0</x:v>
      </x:c>
    </x:row>
    <x:row r="8">
      <x:c r="A8" s="239" t="str">
        <x:v>Celkové investiční výdaje v roce</x:v>
      </x:c>
      <x:c r="B8" s="240" t="n">
        <x:f>B6+B7</x:f>
        <x:v>50</x:v>
      </x:c>
      <x:c r="C8" s="240" t="n">
        <x:f>C6+C7</x:f>
        <x:v>60.00000000000001</x:v>
      </x:c>
      <x:c r="D8" s="240" t="n">
        <x:f>D6+D7</x:f>
        <x:v>36.2</x:v>
      </x:c>
      <x:c r="E8" s="240" t="n">
        <x:f>E6+E7</x:f>
        <x:v>1</x:v>
      </x:c>
      <x:c r="F8" s="240" t="n">
        <x:f>F6+F7</x:f>
        <x:v>1</x:v>
      </x:c>
      <x:c r="G8" s="240" t="n">
        <x:f>G6+G7</x:f>
        <x:v>0</x:v>
      </x:c>
      <x:c r="H8" s="240" t="n">
        <x:f>H6+H7</x:f>
        <x:v>0</x:v>
      </x:c>
      <x:c r="I8" s="240" t="n">
        <x:f>I6+I7</x:f>
        <x:v>0</x:v>
      </x:c>
      <x:c r="J8" s="240" t="n">
        <x:f>J6+J7</x:f>
        <x:v>0</x:v>
      </x:c>
      <x:c r="K8" s="240" t="n">
        <x:f>K6+K7</x:f>
        <x:v>0</x:v>
      </x:c>
      <x:c r="L8" s="240" t="n">
        <x:f>L6+L7</x:f>
        <x:v>0</x:v>
      </x:c>
      <x:c r="M8" s="240" t="n">
        <x:f>M6+M7</x:f>
        <x:v>0</x:v>
      </x:c>
      <x:c r="N8" s="240" t="n">
        <x:f>N6+N7</x:f>
        <x:v>0</x:v>
      </x:c>
      <x:c r="O8" s="240" t="n">
        <x:f>O6+O7</x:f>
        <x:v>0</x:v>
      </x:c>
      <x:c r="P8" s="240" t="n">
        <x:f>P6+P7</x:f>
        <x:v>0</x:v>
      </x:c>
      <x:c r="Q8" s="240" t="n">
        <x:f>Q6+Q7</x:f>
        <x:v>0</x:v>
      </x:c>
      <x:c r="R8" s="240" t="n">
        <x:f>R6+R7</x:f>
        <x:v>0</x:v>
      </x:c>
      <x:c r="S8" s="240" t="n">
        <x:f>S6+S7</x:f>
        <x:v>0</x:v>
      </x:c>
    </x:row>
    <x:row r="9">
      <x:c r="A9" s="239" t="str">
        <x:v>Projektová hotovost – počátek roku</x:v>
      </x:c>
      <x:c r="B9" s="240" t="n">
        <x:v>0</x:v>
      </x:c>
      <x:c r="C9" s="240" t="n">
        <x:f>B14</x:f>
        <x:v>20.5</x:v>
      </x:c>
      <x:c r="D9" s="240" t="n">
        <x:f>C14</x:f>
        <x:v>0</x:v>
      </x:c>
      <x:c r="E9" s="240" t="n">
        <x:f>D14</x:f>
        <x:v>0</x:v>
      </x:c>
      <x:c r="F9" s="240" t="n">
        <x:f>E14</x:f>
        <x:v>0</x:v>
      </x:c>
      <x:c r="G9" s="240" t="n">
        <x:f>F14</x:f>
        <x:v>0</x:v>
      </x:c>
      <x:c r="H9" s="240" t="n">
        <x:f>G14</x:f>
        <x:v>0</x:v>
      </x:c>
      <x:c r="I9" s="240" t="n">
        <x:f>H14</x:f>
        <x:v>0</x:v>
      </x:c>
      <x:c r="J9" s="240" t="n">
        <x:f>I14</x:f>
        <x:v>0</x:v>
      </x:c>
      <x:c r="K9" s="240" t="n">
        <x:f>J14</x:f>
        <x:v>0</x:v>
      </x:c>
      <x:c r="L9" s="240" t="n">
        <x:f>K14</x:f>
        <x:v>0</x:v>
      </x:c>
      <x:c r="M9" s="240" t="n">
        <x:f>L14</x:f>
        <x:v>0</x:v>
      </x:c>
      <x:c r="N9" s="240" t="n">
        <x:f>M14</x:f>
        <x:v>0</x:v>
      </x:c>
      <x:c r="O9" s="240" t="n">
        <x:f>N14</x:f>
        <x:v>0</x:v>
      </x:c>
      <x:c r="P9" s="240" t="n">
        <x:f>O14</x:f>
        <x:v>0</x:v>
      </x:c>
      <x:c r="Q9" s="240" t="n">
        <x:f>P14</x:f>
        <x:v>0</x:v>
      </x:c>
      <x:c r="R9" s="240" t="n">
        <x:f>Q14</x:f>
        <x:v>0</x:v>
      </x:c>
      <x:c r="S9" s="240" t="n">
        <x:f>R14</x:f>
        <x:v>0</x:v>
      </x:c>
    </x:row>
    <x:row r="10">
      <x:c r="A10" s="239" t="str">
        <x:v>Vlastní zdroje – termínovaný vklad</x:v>
      </x:c>
      <x:c r="B10" s="240" t="n">
        <x:v>20.5</x:v>
      </x:c>
      <x:c r="C10" s="240" t="n">
        <x:v>0</x:v>
      </x:c>
      <x:c r="D10" s="240" t="n">
        <x:v>0</x:v>
      </x:c>
      <x:c r="E10" s="240" t="n">
        <x:v>0</x:v>
      </x:c>
      <x:c r="F10" s="240" t="n">
        <x:v>0</x:v>
      </x:c>
      <x:c r="G10" s="240" t="n">
        <x:v>0</x:v>
      </x:c>
      <x:c r="H10" s="240" t="n">
        <x:v>0</x:v>
      </x:c>
      <x:c r="I10" s="240" t="n">
        <x:v>0</x:v>
      </x:c>
      <x:c r="J10" s="240" t="n">
        <x:v>0</x:v>
      </x:c>
      <x:c r="K10" s="240" t="n">
        <x:v>0</x:v>
      </x:c>
      <x:c r="L10" s="240" t="n">
        <x:v>0</x:v>
      </x:c>
      <x:c r="M10" s="240" t="n">
        <x:v>0</x:v>
      </x:c>
      <x:c r="N10" s="240" t="n">
        <x:v>0</x:v>
      </x:c>
      <x:c r="O10" s="240" t="n">
        <x:v>0</x:v>
      </x:c>
      <x:c r="P10" s="240" t="n">
        <x:v>0</x:v>
      </x:c>
      <x:c r="Q10" s="240" t="n">
        <x:v>0</x:v>
      </x:c>
      <x:c r="R10" s="240" t="n">
        <x:v>0</x:v>
      </x:c>
      <x:c r="S10" s="240" t="n">
        <x:v>0</x:v>
      </x:c>
    </x:row>
    <x:row r="11">
      <x:c r="A11" s="239" t="str">
        <x:v>Vlastní zdroje – rozpočet / investiční kapacita</x:v>
      </x:c>
      <x:c r="B11" s="240" t="n">
        <x:v>50</x:v>
      </x:c>
      <x:c r="C11" s="240" t="n">
        <x:v>6.9</x:v>
      </x:c>
      <x:c r="D11" s="240" t="n">
        <x:v>7.7</x:v>
      </x:c>
      <x:c r="E11" s="240" t="n">
        <x:v>0</x:v>
      </x:c>
      <x:c r="F11" s="240" t="n">
        <x:v>0</x:v>
      </x:c>
      <x:c r="G11" s="240" t="n">
        <x:v>0</x:v>
      </x:c>
      <x:c r="H11" s="240" t="n">
        <x:v>0</x:v>
      </x:c>
      <x:c r="I11" s="240" t="n">
        <x:v>0</x:v>
      </x:c>
      <x:c r="J11" s="240" t="n">
        <x:v>0</x:v>
      </x:c>
      <x:c r="K11" s="240" t="n">
        <x:v>0</x:v>
      </x:c>
      <x:c r="L11" s="240" t="n">
        <x:v>0</x:v>
      </x:c>
      <x:c r="M11" s="240" t="n">
        <x:v>0</x:v>
      </x:c>
      <x:c r="N11" s="240" t="n">
        <x:v>0</x:v>
      </x:c>
      <x:c r="O11" s="240" t="n">
        <x:v>0</x:v>
      </x:c>
      <x:c r="P11" s="240" t="n">
        <x:v>0</x:v>
      </x:c>
      <x:c r="Q11" s="240" t="n">
        <x:v>0</x:v>
      </x:c>
      <x:c r="R11" s="240" t="n">
        <x:v>0</x:v>
      </x:c>
      <x:c r="S11" s="240" t="n">
        <x:v>0</x:v>
      </x:c>
    </x:row>
    <x:row r="12">
      <x:c r="A12" s="239" t="str">
        <x:v>Dotace</x:v>
      </x:c>
      <x:c r="B12" s="240" t="n">
        <x:v>0</x:v>
      </x:c>
      <x:c r="C12" s="240" t="n">
        <x:v>0</x:v>
      </x:c>
      <x:c r="D12" s="240" t="n">
        <x:v>0</x:v>
      </x:c>
      <x:c r="E12" s="240" t="n">
        <x:v>0</x:v>
      </x:c>
      <x:c r="F12" s="240" t="n">
        <x:v>0</x:v>
      </x:c>
      <x:c r="G12" s="240" t="n">
        <x:v>0</x:v>
      </x:c>
      <x:c r="H12" s="240" t="n">
        <x:v>0</x:v>
      </x:c>
      <x:c r="I12" s="240" t="n">
        <x:v>0</x:v>
      </x:c>
      <x:c r="J12" s="240" t="n">
        <x:v>0</x:v>
      </x:c>
      <x:c r="K12" s="240" t="n">
        <x:v>0</x:v>
      </x:c>
      <x:c r="L12" s="240" t="n">
        <x:v>0</x:v>
      </x:c>
      <x:c r="M12" s="240" t="n">
        <x:v>0</x:v>
      </x:c>
      <x:c r="N12" s="240" t="n">
        <x:v>0</x:v>
      </x:c>
      <x:c r="O12" s="240" t="n">
        <x:v>0</x:v>
      </x:c>
      <x:c r="P12" s="240" t="n">
        <x:v>0</x:v>
      </x:c>
      <x:c r="Q12" s="240" t="n">
        <x:v>0</x:v>
      </x:c>
      <x:c r="R12" s="240" t="n">
        <x:v>0</x:v>
      </x:c>
      <x:c r="S12" s="240" t="n">
        <x:v>0</x:v>
      </x:c>
    </x:row>
    <x:row r="13">
      <x:c r="A13" s="239" t="str">
        <x:v>Čerpání úvěru</x:v>
      </x:c>
      <x:c r="B13" s="240" t="n">
        <x:f>MAX(0,B6-B9-B10-B11-B12)</x:f>
        <x:v>0</x:v>
      </x:c>
      <x:c r="C13" s="240" t="n">
        <x:f>MAX(0,C6-C9-C10-C11-C12)</x:f>
        <x:v>32.60000000000001</x:v>
      </x:c>
      <x:c r="D13" s="240" t="n">
        <x:f>MAX(0,D6-D9-D10-D11-D12)</x:f>
        <x:v>27.500000000000004</x:v>
      </x:c>
      <x:c r="E13" s="240" t="n">
        <x:v>0</x:v>
      </x:c>
      <x:c r="F13" s="240" t="n">
        <x:v>0</x:v>
      </x:c>
      <x:c r="G13" s="240" t="n">
        <x:v>0</x:v>
      </x:c>
      <x:c r="H13" s="240" t="n">
        <x:v>0</x:v>
      </x:c>
      <x:c r="I13" s="240" t="n">
        <x:v>0</x:v>
      </x:c>
      <x:c r="J13" s="240" t="n">
        <x:v>0</x:v>
      </x:c>
      <x:c r="K13" s="240" t="n">
        <x:v>0</x:v>
      </x:c>
      <x:c r="L13" s="240" t="n">
        <x:v>0</x:v>
      </x:c>
      <x:c r="M13" s="240" t="n">
        <x:v>0</x:v>
      </x:c>
      <x:c r="N13" s="240" t="n">
        <x:v>0</x:v>
      </x:c>
      <x:c r="O13" s="240" t="n">
        <x:v>0</x:v>
      </x:c>
      <x:c r="P13" s="240" t="n">
        <x:v>0</x:v>
      </x:c>
      <x:c r="Q13" s="240" t="n">
        <x:v>0</x:v>
      </x:c>
      <x:c r="R13" s="240" t="n">
        <x:v>0</x:v>
      </x:c>
      <x:c r="S13" s="240" t="n">
        <x:v>0</x:v>
      </x:c>
    </x:row>
    <x:row r="14">
      <x:c r="A14" s="239" t="str">
        <x:v>Projektová hotovost – konec roku</x:v>
      </x:c>
      <x:c r="B14" s="240" t="n">
        <x:f>MAX(0,B9+B10+B11+B12+B13-B6)</x:f>
        <x:v>20.5</x:v>
      </x:c>
      <x:c r="C14" s="240" t="n">
        <x:f>MAX(0,C9+C10+C11+C12+C13-C6)</x:f>
        <x:v>0</x:v>
      </x:c>
      <x:c r="D14" s="240" t="n">
        <x:f>MAX(0,D9+D10+D11+D12+D13-D6)</x:f>
        <x:v>0</x:v>
      </x:c>
      <x:c r="E14" s="240" t="n">
        <x:v>0</x:v>
      </x:c>
      <x:c r="F14" s="240" t="n">
        <x:v>0</x:v>
      </x:c>
      <x:c r="G14" s="240" t="n">
        <x:v>0</x:v>
      </x:c>
      <x:c r="H14" s="240" t="n">
        <x:v>0</x:v>
      </x:c>
      <x:c r="I14" s="240" t="n">
        <x:v>0</x:v>
      </x:c>
      <x:c r="J14" s="240" t="n">
        <x:v>0</x:v>
      </x:c>
      <x:c r="K14" s="240" t="n">
        <x:v>0</x:v>
      </x:c>
      <x:c r="L14" s="240" t="n">
        <x:v>0</x:v>
      </x:c>
      <x:c r="M14" s="240" t="n">
        <x:v>0</x:v>
      </x:c>
      <x:c r="N14" s="240" t="n">
        <x:v>0</x:v>
      </x:c>
      <x:c r="O14" s="240" t="n">
        <x:v>0</x:v>
      </x:c>
      <x:c r="P14" s="240" t="n">
        <x:v>0</x:v>
      </x:c>
      <x:c r="Q14" s="240" t="n">
        <x:v>0</x:v>
      </x:c>
      <x:c r="R14" s="240" t="n">
        <x:v>0</x:v>
      </x:c>
      <x:c r="S14" s="240" t="n">
        <x:v>0</x:v>
      </x:c>
    </x:row>
    <x:row r="15">
      <x:c r="A15" s="239"/>
      <x:c r="B15" s="240"/>
      <x:c r="C15" s="240"/>
      <x:c r="D15" s="240"/>
      <x:c r="E15" s="240"/>
      <x:c r="F15" s="240"/>
      <x:c r="G15" s="240"/>
      <x:c r="H15" s="240"/>
      <x:c r="I15" s="240"/>
      <x:c r="J15" s="240"/>
      <x:c r="K15" s="240"/>
      <x:c r="L15" s="240"/>
      <x:c r="M15" s="240"/>
      <x:c r="N15" s="240"/>
      <x:c r="O15" s="240"/>
      <x:c r="P15" s="240"/>
      <x:c r="Q15" s="240"/>
      <x:c r="R15" s="240"/>
      <x:c r="S15" s="240"/>
    </x:row>
    <x:row r="16">
      <x:c r="A16" s="125" t="str">
        <x:v>2. ÚVĚR A DLUHOVÁ SLUŽBA</x:v>
      </x:c>
      <x:c r="B16" s="127"/>
      <x:c r="C16" s="127"/>
      <x:c r="D16" s="127"/>
      <x:c r="E16" s="127"/>
      <x:c r="F16" s="127"/>
      <x:c r="G16" s="127"/>
      <x:c r="H16" s="127"/>
      <x:c r="I16" s="127"/>
      <x:c r="J16" s="127"/>
      <x:c r="K16" s="127"/>
      <x:c r="L16" s="127"/>
      <x:c r="M16" s="127"/>
      <x:c r="N16" s="127"/>
      <x:c r="O16" s="127"/>
      <x:c r="P16" s="127"/>
      <x:c r="Q16" s="127"/>
      <x:c r="R16" s="127"/>
      <x:c r="S16" s="127"/>
    </x:row>
    <x:row r="17">
      <x:c r="A17" s="239" t="str">
        <x:v>Počáteční zůstatek úvěru</x:v>
      </x:c>
      <x:c r="B17" s="240" t="n">
        <x:v>0</x:v>
      </x:c>
      <x:c r="C17" s="240" t="n">
        <x:v>0</x:v>
      </x:c>
      <x:c r="D17" s="240" t="n">
        <x:v>0</x:v>
      </x:c>
      <x:c r="E17" s="240" t="n">
        <x:f>'Předpoklady'!E9</x:f>
        <x:v>60.099999999999994</x:v>
      </x:c>
      <x:c r="F17" s="240" t="n">
        <x:f>E21</x:f>
        <x:v>57.5179378862857</x:v>
      </x:c>
      <x:c r="G17" s="240" t="n">
        <x:f>F21</x:f>
        <x:v>54.78095204574855</x:v>
      </x:c>
      <x:c r="H17" s="240" t="n">
        <x:f>G21</x:f>
        <x:v>51.879747054779166</x:v>
      </x:c>
      <x:c r="I17" s="240" t="n">
        <x:f>H21</x:f>
        <x:v>48.80446976435162</x:v>
      </x:c>
      <x:c r="J17" s="240" t="n">
        <x:f>I21</x:f>
        <x:v>45.54467583649843</x:v>
      </x:c>
      <x:c r="K17" s="240" t="n">
        <x:f>J21</x:f>
        <x:v>42.08929427297404</x:v>
      </x:c>
      <x:c r="L17" s="240" t="n">
        <x:f>K21</x:f>
        <x:v>38.42658981563819</x:v>
      </x:c>
      <x:c r="M17" s="240" t="n">
        <x:f>L21</x:f>
        <x:v>34.544123090862186</x:v>
      </x:c>
      <x:c r="N17" s="240" t="n">
        <x:f>M21</x:f>
        <x:v>30.42870836259962</x:v>
      </x:c>
      <x:c r="O17" s="240" t="n">
        <x:f>N21</x:f>
        <x:v>26.066368750641306</x:v>
      </x:c>
      <x:c r="P17" s="240" t="n">
        <x:f>O21</x:f>
        <x:v>21.442288761965493</x:v>
      </x:c>
      <x:c r="Q17" s="240" t="n">
        <x:f>P21</x:f>
        <x:v>16.540763973969128</x:v>
      </x:c>
      <x:c r="R17" s="240" t="n">
        <x:f>Q21</x:f>
        <x:v>11.345147698692982</x:v>
      </x:c>
      <x:c r="S17" s="240" t="n">
        <x:f>R21</x:f>
        <x:v>5.837794446900267</x:v>
      </x:c>
    </x:row>
    <x:row r="18">
      <x:c r="A18" s="239" t="str">
        <x:v>Úrok v roce</x:v>
      </x:c>
      <x:c r="B18" s="240" t="n">
        <x:v>0</x:v>
      </x:c>
      <x:c r="C18" s="240" t="n">
        <x:v>0</x:v>
      </x:c>
      <x:c r="D18" s="240" t="n">
        <x:v>0</x:v>
      </x:c>
      <x:c r="E18" s="240" t="n">
        <x:f>E17*'Předpoklady'!E11</x:f>
        <x:v>3.6059999999999994</x:v>
      </x:c>
      <x:c r="F18" s="240" t="n">
        <x:f>F17*'Předpoklady'!E11</x:f>
        <x:v>3.451076273177142</x:v>
      </x:c>
      <x:c r="G18" s="240" t="n">
        <x:f>G17*'Předpoklady'!E11</x:f>
        <x:v>3.286857122744913</x:v>
      </x:c>
      <x:c r="H18" s="240" t="n">
        <x:f>H17*'Předpoklady'!E11</x:f>
        <x:v>3.11278482328675</x:v>
      </x:c>
      <x:c r="I18" s="240" t="n">
        <x:f>I17*'Předpoklady'!E11</x:f>
        <x:v>2.9282681858610973</x:v>
      </x:c>
      <x:c r="J18" s="240" t="n">
        <x:f>J17*'Předpoklady'!E11</x:f>
        <x:v>2.7326805501899054</x:v>
      </x:c>
      <x:c r="K18" s="240" t="n">
        <x:f>K17*'Předpoklady'!E11</x:f>
        <x:v>2.5253576563784423</x:v>
      </x:c>
      <x:c r="L18" s="240" t="n">
        <x:f>L17*'Předpoklady'!E11</x:f>
        <x:v>2.305595388938291</x:v>
      </x:c>
      <x:c r="M18" s="240" t="n">
        <x:f>M17*'Předpoklady'!E11</x:f>
        <x:v>2.072647385451731</x:v>
      </x:c>
      <x:c r="N18" s="240" t="n">
        <x:f>N17*'Předpoklady'!E11</x:f>
        <x:v>1.8257225017559773</x:v>
      </x:c>
      <x:c r="O18" s="240" t="n">
        <x:f>O17*'Předpoklady'!E11</x:f>
        <x:v>1.5639821250384782</x:v>
      </x:c>
      <x:c r="P18" s="240" t="n">
        <x:f>P17*'Předpoklady'!E11</x:f>
        <x:v>1.2865373257179296</x:v>
      </x:c>
      <x:c r="Q18" s="240" t="n">
        <x:f>Q17*'Předpoklady'!E11</x:f>
        <x:v>0.9924458384381476</x:v>
      </x:c>
      <x:c r="R18" s="240" t="n">
        <x:f>R17*'Předpoklady'!E11</x:f>
        <x:v>0.6807088619215789</x:v>
      </x:c>
      <x:c r="S18" s="240" t="n">
        <x:f>S17*'Předpoklady'!E11</x:f>
        <x:v>0.350267666814016</x:v>
      </x:c>
    </x:row>
    <x:row r="19">
      <x:c r="A19" s="239" t="str">
        <x:v>Celková roční splátka</x:v>
      </x:c>
      <x:c r="B19" s="240" t="n">
        <x:v>0</x:v>
      </x:c>
      <x:c r="C19" s="240" t="n">
        <x:v>0</x:v>
      </x:c>
      <x:c r="D19" s="240" t="n">
        <x:v>0</x:v>
      </x:c>
      <x:c r="E19" s="240" t="n">
        <x:f>-PMT('Předpoklady'!E11,'Předpoklady'!E10,'Předpoklady'!E9)</x:f>
        <x:v>6.1880621137142935</x:v>
      </x:c>
      <x:c r="F19" s="240" t="n">
        <x:f>-PMT('Předpoklady'!E11,'Předpoklady'!E10,'Předpoklady'!E9)</x:f>
        <x:v>6.1880621137142935</x:v>
      </x:c>
      <x:c r="G19" s="240" t="n">
        <x:f>-PMT('Předpoklady'!E11,'Předpoklady'!E10,'Předpoklady'!E9)</x:f>
        <x:v>6.1880621137142935</x:v>
      </x:c>
      <x:c r="H19" s="240" t="n">
        <x:f>-PMT('Předpoklady'!E11,'Předpoklady'!E10,'Předpoklady'!E9)</x:f>
        <x:v>6.1880621137142935</x:v>
      </x:c>
      <x:c r="I19" s="240" t="n">
        <x:f>-PMT('Předpoklady'!E11,'Předpoklady'!E10,'Předpoklady'!E9)</x:f>
        <x:v>6.1880621137142935</x:v>
      </x:c>
      <x:c r="J19" s="240" t="n">
        <x:f>-PMT('Předpoklady'!E11,'Předpoklady'!E10,'Předpoklady'!E9)</x:f>
        <x:v>6.1880621137142935</x:v>
      </x:c>
      <x:c r="K19" s="240" t="n">
        <x:f>-PMT('Předpoklady'!E11,'Předpoklady'!E10,'Předpoklady'!E9)</x:f>
        <x:v>6.1880621137142935</x:v>
      </x:c>
      <x:c r="L19" s="240" t="n">
        <x:f>-PMT('Předpoklady'!E11,'Předpoklady'!E10,'Předpoklady'!E9)</x:f>
        <x:v>6.1880621137142935</x:v>
      </x:c>
      <x:c r="M19" s="240" t="n">
        <x:f>-PMT('Předpoklady'!E11,'Předpoklady'!E10,'Předpoklady'!E9)</x:f>
        <x:v>6.1880621137142935</x:v>
      </x:c>
      <x:c r="N19" s="240" t="n">
        <x:f>-PMT('Předpoklady'!E11,'Předpoklady'!E10,'Předpoklady'!E9)</x:f>
        <x:v>6.1880621137142935</x:v>
      </x:c>
      <x:c r="O19" s="240" t="n">
        <x:f>-PMT('Předpoklady'!E11,'Předpoklady'!E10,'Předpoklady'!E9)</x:f>
        <x:v>6.1880621137142935</x:v>
      </x:c>
      <x:c r="P19" s="240" t="n">
        <x:f>-PMT('Předpoklady'!E11,'Předpoklady'!E10,'Předpoklady'!E9)</x:f>
        <x:v>6.1880621137142935</x:v>
      </x:c>
      <x:c r="Q19" s="240" t="n">
        <x:f>-PMT('Předpoklady'!E11,'Předpoklady'!E10,'Předpoklady'!E9)</x:f>
        <x:v>6.1880621137142935</x:v>
      </x:c>
      <x:c r="R19" s="240" t="n">
        <x:f>-PMT('Předpoklady'!E11,'Předpoklady'!E10,'Předpoklady'!E9)</x:f>
        <x:v>6.1880621137142935</x:v>
      </x:c>
      <x:c r="S19" s="240" t="n">
        <x:f>-PMT('Předpoklady'!E11,'Předpoklady'!E10,'Předpoklady'!E9)</x:f>
        <x:v>6.1880621137142935</x:v>
      </x:c>
    </x:row>
    <x:row r="20">
      <x:c r="A20" s="239" t="str">
        <x:v>z toho jistina</x:v>
      </x:c>
      <x:c r="B20" s="240" t="n">
        <x:v>0</x:v>
      </x:c>
      <x:c r="C20" s="240" t="n">
        <x:v>0</x:v>
      </x:c>
      <x:c r="D20" s="240" t="n">
        <x:v>0</x:v>
      </x:c>
      <x:c r="E20" s="240" t="n">
        <x:f>E19-E18</x:f>
        <x:v>2.582062113714294</x:v>
      </x:c>
      <x:c r="F20" s="240" t="n">
        <x:f>F19-F18</x:f>
        <x:v>2.7369858405371517</x:v>
      </x:c>
      <x:c r="G20" s="240" t="n">
        <x:f>G19-G18</x:f>
        <x:v>2.9012049909693807</x:v>
      </x:c>
      <x:c r="H20" s="240" t="n">
        <x:f>H19-H18</x:f>
        <x:v>3.0752772904275436</x:v>
      </x:c>
      <x:c r="I20" s="240" t="n">
        <x:f>I19-I18</x:f>
        <x:v>3.259793927853196</x:v>
      </x:c>
      <x:c r="J20" s="240" t="n">
        <x:f>J19-J18</x:f>
        <x:v>3.455381563524388</x:v>
      </x:c>
      <x:c r="K20" s="240" t="n">
        <x:f>K19-K18</x:f>
        <x:v>3.662704457335851</x:v>
      </x:c>
      <x:c r="L20" s="240" t="n">
        <x:f>L19-L18</x:f>
        <x:v>3.8824667247760023</x:v>
      </x:c>
      <x:c r="M20" s="240" t="n">
        <x:f>M19-M18</x:f>
        <x:v>4.115414728262563</x:v>
      </x:c>
      <x:c r="N20" s="240" t="n">
        <x:f>N19-N18</x:f>
        <x:v>4.362339611958316</x:v>
      </x:c>
      <x:c r="O20" s="240" t="n">
        <x:f>O19-O18</x:f>
        <x:v>4.624079988675815</x:v>
      </x:c>
      <x:c r="P20" s="240" t="n">
        <x:f>P19-P18</x:f>
        <x:v>4.9015247879963635</x:v>
      </x:c>
      <x:c r="Q20" s="240" t="n">
        <x:f>Q19-Q18</x:f>
        <x:v>5.195616275276146</x:v>
      </x:c>
      <x:c r="R20" s="240" t="n">
        <x:f>R19-R18</x:f>
        <x:v>5.507353251792715</x:v>
      </x:c>
      <x:c r="S20" s="240" t="n">
        <x:f>S19-S18</x:f>
        <x:v>5.837794446900277</x:v>
      </x:c>
    </x:row>
    <x:row r="21">
      <x:c r="A21" s="239" t="str">
        <x:v>Konečný zůstatek úvěru</x:v>
      </x:c>
      <x:c r="B21" s="240" t="n">
        <x:v>0</x:v>
      </x:c>
      <x:c r="C21" s="240" t="n">
        <x:v>0</x:v>
      </x:c>
      <x:c r="D21" s="240" t="n">
        <x:v>0</x:v>
      </x:c>
      <x:c r="E21" s="240" t="n">
        <x:f>MAX(0,E17-E20)</x:f>
        <x:v>57.5179378862857</x:v>
      </x:c>
      <x:c r="F21" s="240" t="n">
        <x:f>MAX(0,F17-F20)</x:f>
        <x:v>54.78095204574855</x:v>
      </x:c>
      <x:c r="G21" s="240" t="n">
        <x:f>MAX(0,G17-G20)</x:f>
        <x:v>51.879747054779166</x:v>
      </x:c>
      <x:c r="H21" s="240" t="n">
        <x:f>MAX(0,H17-H20)</x:f>
        <x:v>48.80446976435162</x:v>
      </x:c>
      <x:c r="I21" s="240" t="n">
        <x:f>MAX(0,I17-I20)</x:f>
        <x:v>45.54467583649843</x:v>
      </x:c>
      <x:c r="J21" s="240" t="n">
        <x:f>MAX(0,J17-J20)</x:f>
        <x:v>42.08929427297404</x:v>
      </x:c>
      <x:c r="K21" s="240" t="n">
        <x:f>MAX(0,K17-K20)</x:f>
        <x:v>38.42658981563819</x:v>
      </x:c>
      <x:c r="L21" s="240" t="n">
        <x:f>MAX(0,L17-L20)</x:f>
        <x:v>34.544123090862186</x:v>
      </x:c>
      <x:c r="M21" s="240" t="n">
        <x:f>MAX(0,M17-M20)</x:f>
        <x:v>30.42870836259962</x:v>
      </x:c>
      <x:c r="N21" s="240" t="n">
        <x:f>MAX(0,N17-N20)</x:f>
        <x:v>26.066368750641306</x:v>
      </x:c>
      <x:c r="O21" s="240" t="n">
        <x:f>MAX(0,O17-O20)</x:f>
        <x:v>21.442288761965493</x:v>
      </x:c>
      <x:c r="P21" s="240" t="n">
        <x:f>MAX(0,P17-P20)</x:f>
        <x:v>16.540763973969128</x:v>
      </x:c>
      <x:c r="Q21" s="240" t="n">
        <x:f>MAX(0,Q17-Q20)</x:f>
        <x:v>11.345147698692982</x:v>
      </x:c>
      <x:c r="R21" s="240" t="n">
        <x:f>MAX(0,R17-R20)</x:f>
        <x:v>5.837794446900267</x:v>
      </x:c>
      <x:c r="S21" s="240" t="n">
        <x:f>MAX(0,S17-S20)</x:f>
        <x:v>0</x:v>
      </x:c>
    </x:row>
    <x:row r="22">
      <x:c r="A22" s="239"/>
      <x:c r="B22" s="240"/>
      <x:c r="C22" s="240"/>
      <x:c r="D22" s="240"/>
      <x:c r="E22" s="240"/>
      <x:c r="F22" s="240"/>
      <x:c r="G22" s="240"/>
      <x:c r="H22" s="240"/>
      <x:c r="I22" s="240"/>
      <x:c r="J22" s="240"/>
      <x:c r="K22" s="240"/>
      <x:c r="L22" s="240"/>
      <x:c r="M22" s="240"/>
      <x:c r="N22" s="240"/>
      <x:c r="O22" s="240"/>
      <x:c r="P22" s="240"/>
      <x:c r="Q22" s="240"/>
      <x:c r="R22" s="240"/>
      <x:c r="S22" s="240"/>
    </x:row>
    <x:row r="23">
      <x:c r="A23" s="125" t="str">
        <x:v>3. PROVOZ ŠKOLY A MOŽNÉ KOMPENZACE</x:v>
      </x:c>
      <x:c r="B23" s="127"/>
      <x:c r="C23" s="127"/>
      <x:c r="D23" s="127"/>
      <x:c r="E23" s="127"/>
      <x:c r="F23" s="127"/>
      <x:c r="G23" s="127"/>
      <x:c r="H23" s="127"/>
      <x:c r="I23" s="127"/>
      <x:c r="J23" s="127"/>
      <x:c r="K23" s="127"/>
      <x:c r="L23" s="127"/>
      <x:c r="M23" s="127"/>
      <x:c r="N23" s="127"/>
      <x:c r="O23" s="127"/>
      <x:c r="P23" s="127"/>
      <x:c r="Q23" s="127"/>
      <x:c r="R23" s="127"/>
      <x:c r="S23" s="127"/>
    </x:row>
    <x:row r="24">
      <x:c r="A24" s="239" t="str">
        <x:v>Modelový počet žáků 2. stupně</x:v>
      </x:c>
      <x:c r="B24" s="243" t="n">
        <x:v>0</x:v>
      </x:c>
      <x:c r="C24" s="243" t="n">
        <x:v>0</x:v>
      </x:c>
      <x:c r="D24" s="243" t="n">
        <x:v>0</x:v>
      </x:c>
      <x:c r="E24" s="243" t="n">
        <x:f>'Demografie a RUD'!J7</x:f>
        <x:v>29</x:v>
      </x:c>
      <x:c r="F24" s="243" t="n">
        <x:f>'Demografie a RUD'!J8</x:f>
        <x:v>60</x:v>
      </x:c>
      <x:c r="G24" s="243" t="n">
        <x:f>'Demografie a RUD'!J9</x:f>
        <x:v>88.2</x:v>
      </x:c>
      <x:c r="H24" s="243" t="n">
        <x:f>'Demografie a RUD'!J10</x:f>
        <x:v>115.2</x:v>
      </x:c>
      <x:c r="I24" s="243" t="n">
        <x:f>'Demografie a RUD'!J11</x:f>
        <x:v>112.80000000000001</x:v>
      </x:c>
      <x:c r="J24" s="243" t="n">
        <x:f>'Demografie a RUD'!J12</x:f>
        <x:v>110.4</x:v>
      </x:c>
      <x:c r="K24" s="243" t="n">
        <x:f>'Demografie a RUD'!J13</x:f>
        <x:v>108</x:v>
      </x:c>
      <x:c r="L24" s="243" t="n">
        <x:f>'Demografie a RUD'!J14</x:f>
        <x:v>105.60000000000001</x:v>
      </x:c>
      <x:c r="M24" s="243" t="n">
        <x:f>'Demografie a RUD'!J15</x:f>
        <x:v>103.2</x:v>
      </x:c>
      <x:c r="N24" s="243" t="n">
        <x:f>'Demografie a RUD'!J16</x:f>
        <x:v>100.80000000000001</x:v>
      </x:c>
      <x:c r="O24" s="243" t="n">
        <x:f>'Demografie a RUD'!J17</x:f>
        <x:v>98.4</x:v>
      </x:c>
      <x:c r="P24" s="243" t="n">
        <x:f>'Demografie a RUD'!J18</x:f>
        <x:v>96</x:v>
      </x:c>
      <x:c r="Q24" s="243" t="n">
        <x:f>'Demografie a RUD'!J19</x:f>
        <x:v>96</x:v>
      </x:c>
      <x:c r="R24" s="243" t="n">
        <x:f>'Demografie a RUD'!J20</x:f>
        <x:v>96</x:v>
      </x:c>
      <x:c r="S24" s="243" t="n">
        <x:f>'Demografie a RUD'!J21</x:f>
        <x:v>96</x:v>
      </x:c>
    </x:row>
    <x:row r="25">
      <x:c r="A25" s="239" t="str">
        <x:v>Nepedagogičtí pracovníci</x:v>
      </x:c>
      <x:c r="B25" s="240" t="n">
        <x:v>0</x:v>
      </x:c>
      <x:c r="C25" s="240" t="n">
        <x:v>0</x:v>
      </x:c>
      <x:c r="D25" s="240" t="n">
        <x:v>0</x:v>
      </x:c>
      <x:c r="E25" s="240" t="n">
        <x:f>'Předpoklady'!E13*(1+'Předpoklady'!E18)^0</x:f>
        <x:v>1.08</x:v>
      </x:c>
      <x:c r="F25" s="240" t="n">
        <x:f>'Předpoklady'!E13*(1+'Předpoklady'!E18)^1</x:f>
        <x:v>1.1124</x:v>
      </x:c>
      <x:c r="G25" s="240" t="n">
        <x:f>'Předpoklady'!E13*(1+'Předpoklady'!E18)^2</x:f>
        <x:v>1.145772</x:v>
      </x:c>
      <x:c r="H25" s="240" t="n">
        <x:f>'Předpoklady'!E13*(1+'Předpoklady'!E18)^3</x:f>
        <x:v>1.1801451600000001</x:v>
      </x:c>
      <x:c r="I25" s="240" t="n">
        <x:f>'Předpoklady'!E13*(1+'Předpoklady'!E18)^4</x:f>
        <x:v>1.2155495148</x:v>
      </x:c>
      <x:c r="J25" s="240" t="n">
        <x:f>'Předpoklady'!E13*(1+'Předpoklady'!E18)^5</x:f>
        <x:v>1.252016000244</x:v>
      </x:c>
      <x:c r="K25" s="240" t="n">
        <x:f>'Předpoklady'!E13*(1+'Předpoklady'!E18)^6</x:f>
        <x:v>1.28957648025132</x:v>
      </x:c>
      <x:c r="L25" s="240" t="n">
        <x:f>'Předpoklady'!E13*(1+'Předpoklady'!E18)^7</x:f>
        <x:v>1.3282637746588597</x:v>
      </x:c>
      <x:c r="M25" s="240" t="n">
        <x:f>'Předpoklady'!E13*(1+'Předpoklady'!E18)^8</x:f>
        <x:v>1.3681116878986253</x:v>
      </x:c>
      <x:c r="N25" s="240" t="n">
        <x:f>'Předpoklady'!E13*(1+'Předpoklady'!E18)^9</x:f>
        <x:v>1.409155038535584</x:v>
      </x:c>
      <x:c r="O25" s="240" t="n">
        <x:f>'Předpoklady'!E13*(1+'Předpoklady'!E18)^10</x:f>
        <x:v>1.4514296896916516</x:v>
      </x:c>
      <x:c r="P25" s="240" t="n">
        <x:f>'Předpoklady'!E13*(1+'Předpoklady'!E18)^11</x:f>
        <x:v>1.4949725803824012</x:v>
      </x:c>
      <x:c r="Q25" s="240" t="n">
        <x:f>'Předpoklady'!E13*(1+'Předpoklady'!E18)^12</x:f>
        <x:v>1.539821757793873</x:v>
      </x:c>
      <x:c r="R25" s="240" t="n">
        <x:f>'Předpoklady'!E13*(1+'Předpoklady'!E18)^13</x:f>
        <x:v>1.586016410527689</x:v>
      </x:c>
      <x:c r="S25" s="240" t="n">
        <x:f>'Předpoklady'!E13*(1+'Předpoklady'!E18)^14</x:f>
        <x:v>1.63359690284352</x:v>
      </x:c>
    </x:row>
    <x:row r="26">
      <x:c r="A26" s="239" t="str">
        <x:v>Energie a média</x:v>
      </x:c>
      <x:c r="B26" s="240" t="n">
        <x:v>0</x:v>
      </x:c>
      <x:c r="C26" s="240" t="n">
        <x:v>0</x:v>
      </x:c>
      <x:c r="D26" s="240" t="n">
        <x:v>0</x:v>
      </x:c>
      <x:c r="E26" s="240" t="n">
        <x:f>'Předpoklady'!E14*(1+'Předpoklady'!E18)^0</x:f>
        <x:v>1.5</x:v>
      </x:c>
      <x:c r="F26" s="240" t="n">
        <x:f>'Předpoklady'!E14*(1+'Předpoklady'!E18)^1</x:f>
        <x:v>1.545</x:v>
      </x:c>
      <x:c r="G26" s="240" t="n">
        <x:f>'Předpoklady'!E14*(1+'Předpoklady'!E18)^2</x:f>
        <x:v>1.5913499999999998</x:v>
      </x:c>
      <x:c r="H26" s="240" t="n">
        <x:f>'Předpoklady'!E14*(1+'Předpoklady'!E18)^3</x:f>
        <x:v>1.6390905</x:v>
      </x:c>
      <x:c r="I26" s="240" t="n">
        <x:f>'Předpoklady'!E14*(1+'Předpoklady'!E18)^4</x:f>
        <x:v>1.6882632149999999</x:v>
      </x:c>
      <x:c r="J26" s="240" t="n">
        <x:f>'Předpoklady'!E14*(1+'Předpoklady'!E18)^5</x:f>
        <x:v>1.7389111114499998</x:v>
      </x:c>
      <x:c r="K26" s="240" t="n">
        <x:f>'Předpoklady'!E14*(1+'Předpoklady'!E18)^6</x:f>
        <x:v>1.7910784447935</x:v>
      </x:c>
      <x:c r="L26" s="240" t="n">
        <x:f>'Předpoklady'!E14*(1+'Předpoklady'!E18)^7</x:f>
        <x:v>1.844810798137305</x:v>
      </x:c>
      <x:c r="M26" s="240" t="n">
        <x:f>'Předpoklady'!E14*(1+'Předpoklady'!E18)^8</x:f>
        <x:v>1.900155122081424</x:v>
      </x:c>
      <x:c r="N26" s="240" t="n">
        <x:f>'Předpoklady'!E14*(1+'Předpoklady'!E18)^9</x:f>
        <x:v>1.9571597757438668</x:v>
      </x:c>
      <x:c r="O26" s="240" t="n">
        <x:f>'Předpoklady'!E14*(1+'Předpoklady'!E18)^10</x:f>
        <x:v>2.015874569016183</x:v>
      </x:c>
      <x:c r="P26" s="240" t="n">
        <x:f>'Předpoklady'!E14*(1+'Předpoklady'!E18)^11</x:f>
        <x:v>2.076350806086668</x:v>
      </x:c>
      <x:c r="Q26" s="240" t="n">
        <x:f>'Předpoklady'!E14*(1+'Předpoklady'!E18)^12</x:f>
        <x:v>2.1386413302692677</x:v>
      </x:c>
      <x:c r="R26" s="240" t="n">
        <x:f>'Předpoklady'!E14*(1+'Předpoklady'!E18)^13</x:f>
        <x:v>2.202800570177346</x:v>
      </x:c>
      <x:c r="S26" s="240" t="n">
        <x:f>'Předpoklady'!E14*(1+'Předpoklady'!E18)^14</x:f>
        <x:v>2.2688845872826664</x:v>
      </x:c>
    </x:row>
    <x:row r="27">
      <x:c r="A27" s="239" t="str">
        <x:v>Servis technologií a revize</x:v>
      </x:c>
      <x:c r="B27" s="240" t="n">
        <x:v>0</x:v>
      </x:c>
      <x:c r="C27" s="240" t="n">
        <x:v>0</x:v>
      </x:c>
      <x:c r="D27" s="240" t="n">
        <x:v>0</x:v>
      </x:c>
      <x:c r="E27" s="240" t="n">
        <x:f>'Předpoklady'!E15*(1+'Předpoklady'!E18)^0</x:f>
        <x:v>0.7</x:v>
      </x:c>
      <x:c r="F27" s="240" t="n">
        <x:f>'Předpoklady'!E15*(1+'Předpoklady'!E18)^1</x:f>
        <x:v>0.721</x:v>
      </x:c>
      <x:c r="G27" s="240" t="n">
        <x:f>'Předpoklady'!E15*(1+'Předpoklady'!E18)^2</x:f>
        <x:v>0.7426299999999999</x:v>
      </x:c>
      <x:c r="H27" s="240" t="n">
        <x:f>'Předpoklady'!E15*(1+'Předpoklady'!E18)^3</x:f>
        <x:v>0.7649089</x:v>
      </x:c>
      <x:c r="I27" s="240" t="n">
        <x:f>'Předpoklady'!E15*(1+'Předpoklady'!E18)^4</x:f>
        <x:v>0.7878561669999999</x:v>
      </x:c>
      <x:c r="J27" s="240" t="n">
        <x:f>'Předpoklady'!E15*(1+'Předpoklady'!E18)^5</x:f>
        <x:v>0.8114918520099998</x:v>
      </x:c>
      <x:c r="K27" s="240" t="n">
        <x:f>'Předpoklady'!E15*(1+'Předpoklady'!E18)^6</x:f>
        <x:v>0.8358366075702999</x:v>
      </x:c>
      <x:c r="L27" s="240" t="n">
        <x:f>'Předpoklady'!E15*(1+'Předpoklady'!E18)^7</x:f>
        <x:v>0.8609117057974089</x:v>
      </x:c>
      <x:c r="M27" s="240" t="n">
        <x:f>'Předpoklady'!E15*(1+'Předpoklady'!E18)^8</x:f>
        <x:v>0.886739056971331</x:v>
      </x:c>
      <x:c r="N27" s="240" t="n">
        <x:f>'Předpoklady'!E15*(1+'Předpoklady'!E18)^9</x:f>
        <x:v>0.9133412286804711</x:v>
      </x:c>
      <x:c r="O27" s="240" t="n">
        <x:f>'Předpoklady'!E15*(1+'Předpoklady'!E18)^10</x:f>
        <x:v>0.9407414655408852</x:v>
      </x:c>
      <x:c r="P27" s="240" t="n">
        <x:f>'Předpoklady'!E15*(1+'Předpoklady'!E18)^11</x:f>
        <x:v>0.9689637095071117</x:v>
      </x:c>
      <x:c r="Q27" s="240" t="n">
        <x:f>'Předpoklady'!E15*(1+'Předpoklady'!E18)^12</x:f>
        <x:v>0.998032620792325</x:v>
      </x:c>
      <x:c r="R27" s="240" t="n">
        <x:f>'Předpoklady'!E15*(1+'Předpoklady'!E18)^13</x:f>
        <x:v>1.0279735994160948</x:v>
      </x:c>
      <x:c r="S27" s="240" t="n">
        <x:f>'Předpoklady'!E15*(1+'Předpoklady'!E18)^14</x:f>
        <x:v>1.0588128073985776</x:v>
      </x:c>
    </x:row>
    <x:row r="28">
      <x:c r="A28" s="239" t="str">
        <x:v>Ostatní provoz</x:v>
      </x:c>
      <x:c r="B28" s="240" t="n">
        <x:v>0</x:v>
      </x:c>
      <x:c r="C28" s="240" t="n">
        <x:v>0</x:v>
      </x:c>
      <x:c r="D28" s="240" t="n">
        <x:v>0</x:v>
      </x:c>
      <x:c r="E28" s="240" t="n">
        <x:f>'Předpoklady'!E16*(1+'Předpoklady'!E18)^0</x:f>
        <x:v>0.8</x:v>
      </x:c>
      <x:c r="F28" s="240" t="n">
        <x:f>'Předpoklady'!E16*(1+'Předpoklady'!E18)^1</x:f>
        <x:v>0.8240000000000001</x:v>
      </x:c>
      <x:c r="G28" s="240" t="n">
        <x:f>'Předpoklady'!E16*(1+'Předpoklady'!E18)^2</x:f>
        <x:v>0.84872</x:v>
      </x:c>
      <x:c r="H28" s="240" t="n">
        <x:f>'Předpoklady'!E16*(1+'Předpoklady'!E18)^3</x:f>
        <x:v>0.8741816</x:v>
      </x:c>
      <x:c r="I28" s="240" t="n">
        <x:f>'Předpoklady'!E16*(1+'Předpoklady'!E18)^4</x:f>
        <x:v>0.9004070479999999</x:v>
      </x:c>
      <x:c r="J28" s="240" t="n">
        <x:f>'Předpoklady'!E16*(1+'Předpoklady'!E18)^5</x:f>
        <x:v>0.9274192594399999</x:v>
      </x:c>
      <x:c r="K28" s="240" t="n">
        <x:f>'Předpoklady'!E16*(1+'Předpoklady'!E18)^6</x:f>
        <x:v>0.9552418372232</x:v>
      </x:c>
      <x:c r="L28" s="240" t="n">
        <x:f>'Předpoklady'!E16*(1+'Předpoklady'!E18)^7</x:f>
        <x:v>0.983899092339896</x:v>
      </x:c>
      <x:c r="M28" s="240" t="n">
        <x:f>'Předpoklady'!E16*(1+'Předpoklady'!E18)^8</x:f>
        <x:v>1.0134160651100927</x:v>
      </x:c>
      <x:c r="N28" s="240" t="n">
        <x:f>'Předpoklady'!E16*(1+'Předpoklady'!E18)^9</x:f>
        <x:v>1.0438185470633956</x:v>
      </x:c>
      <x:c r="O28" s="240" t="n">
        <x:f>'Předpoklady'!E16*(1+'Předpoklady'!E18)^10</x:f>
        <x:v>1.0751331034752976</x:v>
      </x:c>
      <x:c r="P28" s="240" t="n">
        <x:f>'Předpoklady'!E16*(1+'Předpoklady'!E18)^11</x:f>
        <x:v>1.1073870965795565</x:v>
      </x:c>
      <x:c r="Q28" s="240" t="n">
        <x:f>'Předpoklady'!E16*(1+'Předpoklady'!E18)^12</x:f>
        <x:v>1.140608709476943</x:v>
      </x:c>
      <x:c r="R28" s="240" t="n">
        <x:f>'Předpoklady'!E16*(1+'Předpoklady'!E18)^13</x:f>
        <x:v>1.174826970761251</x:v>
      </x:c>
      <x:c r="S28" s="240" t="n">
        <x:f>'Předpoklady'!E16*(1+'Předpoklady'!E18)^14</x:f>
        <x:v>1.210071779884089</x:v>
      </x:c>
    </x:row>
    <x:row r="29">
      <x:c r="A29" s="239" t="str">
        <x:v>Údržba a opravy / rezerva obnovy</x:v>
      </x:c>
      <x:c r="B29" s="240" t="n">
        <x:v>0</x:v>
      </x:c>
      <x:c r="C29" s="240" t="n">
        <x:v>0</x:v>
      </x:c>
      <x:c r="D29" s="240" t="n">
        <x:v>0</x:v>
      </x:c>
      <x:c r="E29" s="240" t="n">
        <x:f>'Předpoklady'!E6*'Předpoklady'!E17*(1+'Předpoklady'!E18)^0</x:f>
        <x:v>1.452</x:v>
      </x:c>
      <x:c r="F29" s="240" t="n">
        <x:f>'Předpoklady'!E6*'Předpoklady'!E17*(1+'Předpoklady'!E18)^1</x:f>
        <x:v>1.49556</x:v>
      </x:c>
      <x:c r="G29" s="240" t="n">
        <x:f>'Předpoklady'!E6*'Předpoklady'!E17*(1+'Předpoklady'!E18)^2</x:f>
        <x:v>1.5404267999999999</x:v>
      </x:c>
      <x:c r="H29" s="240" t="n">
        <x:f>'Předpoklady'!E6*'Předpoklady'!E17*(1+'Předpoklady'!E18)^3</x:f>
        <x:v>1.586639604</x:v>
      </x:c>
      <x:c r="I29" s="240" t="n">
        <x:f>'Předpoklady'!E6*'Předpoklady'!E17*(1+'Předpoklady'!E18)^4</x:f>
        <x:v>1.63423879212</x:v>
      </x:c>
      <x:c r="J29" s="240" t="n">
        <x:f>'Předpoklady'!E6*'Předpoklady'!E17*(1+'Předpoklady'!E18)^5</x:f>
        <x:v>1.6832659558835996</x:v>
      </x:c>
      <x:c r="K29" s="240" t="n">
        <x:f>'Předpoklady'!E6*'Předpoklady'!E17*(1+'Předpoklady'!E18)^6</x:f>
        <x:v>1.733763934560108</x:v>
      </x:c>
      <x:c r="L29" s="240" t="n">
        <x:f>'Předpoklady'!E6*'Předpoklady'!E17*(1+'Předpoklady'!E18)^7</x:f>
        <x:v>1.785776852596911</x:v>
      </x:c>
      <x:c r="M29" s="240" t="n">
        <x:f>'Předpoklady'!E6*'Předpoklady'!E17*(1+'Předpoklady'!E18)^8</x:f>
        <x:v>1.8393501581748182</x:v>
      </x:c>
      <x:c r="N29" s="240" t="n">
        <x:f>'Předpoklady'!E6*'Předpoklady'!E17*(1+'Předpoklady'!E18)^9</x:f>
        <x:v>1.894530662920063</x:v>
      </x:c>
      <x:c r="O29" s="240" t="n">
        <x:f>'Předpoklady'!E6*'Předpoklady'!E17*(1+'Předpoklady'!E18)^10</x:f>
        <x:v>1.9513665828076647</x:v>
      </x:c>
      <x:c r="P29" s="240" t="n">
        <x:f>'Předpoklady'!E6*'Předpoklady'!E17*(1+'Předpoklady'!E18)^11</x:f>
        <x:v>2.0099075802918946</x:v>
      </x:c>
      <x:c r="Q29" s="240" t="n">
        <x:f>'Předpoklady'!E6*'Předpoklady'!E17*(1+'Předpoklady'!E18)^12</x:f>
        <x:v>2.070204807700651</x:v>
      </x:c>
      <x:c r="R29" s="240" t="n">
        <x:f>'Předpoklady'!E6*'Předpoklady'!E17*(1+'Předpoklady'!E18)^13</x:f>
        <x:v>2.1323109519316708</x:v>
      </x:c>
      <x:c r="S29" s="240" t="n">
        <x:f>'Předpoklady'!E6*'Předpoklady'!E17*(1+'Předpoklady'!E18)^14</x:f>
        <x:v>2.196280280489621</x:v>
      </x:c>
    </x:row>
    <x:row r="30">
      <x:c r="A30" s="239" t="str">
        <x:v>Hrubé provozní náklady</x:v>
      </x:c>
      <x:c r="B30" s="240" t="n">
        <x:v>0</x:v>
      </x:c>
      <x:c r="C30" s="240" t="n">
        <x:v>0</x:v>
      </x:c>
      <x:c r="D30" s="240" t="n">
        <x:v>0</x:v>
      </x:c>
      <x:c r="E30" s="240" t="n">
        <x:f>SUM(E25:E29)</x:f>
        <x:v>5.532</x:v>
      </x:c>
      <x:c r="F30" s="240" t="n">
        <x:f>SUM(F25:F29)</x:f>
        <x:v>5.69796</x:v>
      </x:c>
      <x:c r="G30" s="240" t="n">
        <x:f>SUM(G25:G29)</x:f>
        <x:v>5.868898799999999</x:v>
      </x:c>
      <x:c r="H30" s="240" t="n">
        <x:f>SUM(H25:H29)</x:f>
        <x:v>6.0449657640000005</x:v>
      </x:c>
      <x:c r="I30" s="240" t="n">
        <x:f>SUM(I25:I29)</x:f>
        <x:v>6.226314736919999</x:v>
      </x:c>
      <x:c r="J30" s="240" t="n">
        <x:f>SUM(J25:J29)</x:f>
        <x:v>6.413104179027599</x:v>
      </x:c>
      <x:c r="K30" s="240" t="n">
        <x:f>SUM(K25:K29)</x:f>
        <x:v>6.605497304398428</x:v>
      </x:c>
      <x:c r="L30" s="240" t="n">
        <x:f>SUM(L25:L29)</x:f>
        <x:v>6.803662223530381</x:v>
      </x:c>
      <x:c r="M30" s="240" t="n">
        <x:f>SUM(M25:M29)</x:f>
        <x:v>7.0077720902362906</x:v>
      </x:c>
      <x:c r="N30" s="240" t="n">
        <x:f>SUM(N25:N29)</x:f>
        <x:v>7.21800525294338</x:v>
      </x:c>
      <x:c r="O30" s="240" t="n">
        <x:f>SUM(O25:O29)</x:f>
        <x:v>7.4345454105316815</x:v>
      </x:c>
      <x:c r="P30" s="240" t="n">
        <x:f>SUM(P25:P29)</x:f>
        <x:v>7.657581772847632</x:v>
      </x:c>
      <x:c r="Q30" s="240" t="n">
        <x:f>SUM(Q25:Q29)</x:f>
        <x:v>7.887309226033061</x:v>
      </x:c>
      <x:c r="R30" s="240" t="n">
        <x:f>SUM(R25:R29)</x:f>
        <x:v>8.123928502814053</x:v>
      </x:c>
      <x:c r="S30" s="240" t="n">
        <x:f>SUM(S25:S29)</x:f>
        <x:v>8.367646357898474</x:v>
      </x:c>
    </x:row>
    <x:row r="31">
      <x:c r="A31" s="239" t="str">
        <x:v>Modelovaná kompenzace RUD</x:v>
      </x:c>
      <x:c r="B31" s="240" t="n">
        <x:v>0</x:v>
      </x:c>
      <x:c r="C31" s="240" t="n">
        <x:v>0</x:v>
      </x:c>
      <x:c r="D31" s="240" t="n">
        <x:v>0</x:v>
      </x:c>
      <x:c r="E31" s="240" t="n">
        <x:f>'Demografie a RUD'!K7</x:f>
        <x:v>0.58</x:v>
      </x:c>
      <x:c r="F31" s="240" t="n">
        <x:f>'Demografie a RUD'!K8</x:f>
        <x:v>1.2179999999999997</x:v>
      </x:c>
      <x:c r="G31" s="240" t="n">
        <x:f>'Demografie a RUD'!K9</x:f>
        <x:v>1.8173168999999996</x:v>
      </x:c>
      <x:c r="H31" s="240" t="n">
        <x:f>'Demografie a RUD'!K10</x:f>
        <x:v>2.409242975999999</x:v>
      </x:c>
      <x:c r="I31" s="240" t="n">
        <x:f>'Demografie a RUD'!K11</x:f>
        <x:v>2.3944361702099983</x:v>
      </x:c>
      <x:c r="J31" s="240" t="n">
        <x:f>'Demografie a RUD'!K12</x:f>
        <x:v>2.3786430805766985</x:v>
      </x:c>
      <x:c r="K31" s="240" t="n">
        <x:f>'Demografie a RUD'!K13</x:f>
        <x:v>2.3618374501161017</x:v>
      </x:c>
      <x:c r="L31" s="240" t="n">
        <x:f>'Demografie a RUD'!K14</x:f>
        <x:v>2.3439924560485577</x:v>
      </x:c>
      <x:c r="M31" s="240" t="n">
        <x:f>'Demografie a RUD'!K15</x:f>
        <x:v>2.325080698732711</x:v>
      </x:c>
      <x:c r="N31" s="240" t="n">
        <x:f>'Demografie a RUD'!K16</x:f>
        <x:v>2.305074190394778</x:v>
      </x:c>
      <x:c r="O31" s="240" t="n">
        <x:f>'Demografie a RUD'!K17</x:f>
        <x:v>2.2839443436494924</x:v>
      </x:c>
      <x:c r="P31" s="240" t="n">
        <x:f>'Demografie a RUD'!K18</x:f>
        <x:v>2.2616619598090093</x:v>
      </x:c>
      <x:c r="Q31" s="240" t="n">
        <x:f>'Demografie a RUD'!K19</x:f>
        <x:v>2.295586889206144</x:v>
      </x:c>
      <x:c r="R31" s="240" t="n">
        <x:f>'Demografie a RUD'!K20</x:f>
        <x:v>2.330020692544236</x:v>
      </x:c>
      <x:c r="S31" s="240" t="n">
        <x:f>'Demografie a RUD'!K21</x:f>
        <x:v>2.364971002932399</x:v>
      </x:c>
    </x:row>
    <x:row r="32">
      <x:c r="A32" s="239" t="str">
        <x:v>Úspora plateb Neratovicím</x:v>
      </x:c>
      <x:c r="B32" s="240" t="n">
        <x:v>0</x:v>
      </x:c>
      <x:c r="C32" s="240" t="n">
        <x:v>0</x:v>
      </x:c>
      <x:c r="D32" s="240" t="n">
        <x:v>0</x:v>
      </x:c>
      <x:c r="E32" s="240" t="n">
        <x:f>'Demografie a RUD'!L7</x:f>
        <x:v>0.232</x:v>
      </x:c>
      <x:c r="F32" s="240" t="n">
        <x:f>'Demografie a RUD'!L8</x:f>
        <x:v>0.48</x:v>
      </x:c>
      <x:c r="G32" s="240" t="n">
        <x:f>'Demografie a RUD'!L9</x:f>
        <x:v>0.536</x:v>
      </x:c>
      <x:c r="H32" s="240" t="n">
        <x:f>'Demografie a RUD'!L10</x:f>
        <x:v>0.536</x:v>
      </x:c>
      <x:c r="I32" s="240" t="n">
        <x:f>'Demografie a RUD'!L11</x:f>
        <x:v>0.536</x:v>
      </x:c>
      <x:c r="J32" s="240" t="n">
        <x:f>'Demografie a RUD'!L12</x:f>
        <x:v>0.536</x:v>
      </x:c>
      <x:c r="K32" s="240" t="n">
        <x:f>'Demografie a RUD'!L13</x:f>
        <x:v>0.536</x:v>
      </x:c>
      <x:c r="L32" s="240" t="n">
        <x:f>'Demografie a RUD'!L14</x:f>
        <x:v>0.536</x:v>
      </x:c>
      <x:c r="M32" s="240" t="n">
        <x:f>'Demografie a RUD'!L15</x:f>
        <x:v>0.536</x:v>
      </x:c>
      <x:c r="N32" s="240" t="n">
        <x:f>'Demografie a RUD'!L16</x:f>
        <x:v>0.536</x:v>
      </x:c>
      <x:c r="O32" s="240" t="n">
        <x:f>'Demografie a RUD'!L17</x:f>
        <x:v>0.536</x:v>
      </x:c>
      <x:c r="P32" s="240" t="n">
        <x:f>'Demografie a RUD'!L18</x:f>
        <x:v>0.536</x:v>
      </x:c>
      <x:c r="Q32" s="240" t="n">
        <x:f>'Demografie a RUD'!L19</x:f>
        <x:v>0.536</x:v>
      </x:c>
      <x:c r="R32" s="240" t="n">
        <x:f>'Demografie a RUD'!L20</x:f>
        <x:v>0.536</x:v>
      </x:c>
      <x:c r="S32" s="240" t="n">
        <x:f>'Demografie a RUD'!L21</x:f>
        <x:v>0.536</x:v>
      </x:c>
    </x:row>
    <x:row r="33">
      <x:c r="A33" s="239" t="str">
        <x:v>Čistý dodatečný provoz školy</x:v>
      </x:c>
      <x:c r="B33" s="240" t="n">
        <x:v>0</x:v>
      </x:c>
      <x:c r="C33" s="240" t="n">
        <x:v>0</x:v>
      </x:c>
      <x:c r="D33" s="240" t="n">
        <x:v>0</x:v>
      </x:c>
      <x:c r="E33" s="240" t="n">
        <x:f>MAX(0,E30-E31-E32)</x:f>
        <x:v>4.72</x:v>
      </x:c>
      <x:c r="F33" s="240" t="n">
        <x:f>MAX(0,F30-F31-F32)</x:f>
        <x:v>3.99996</x:v>
      </x:c>
      <x:c r="G33" s="240" t="n">
        <x:f>MAX(0,G30-G31-G32)</x:f>
        <x:v>3.5155818999999995</x:v>
      </x:c>
      <x:c r="H33" s="240" t="n">
        <x:f>MAX(0,H30-H31-H32)</x:f>
        <x:v>3.0997227880000016</x:v>
      </x:c>
      <x:c r="I33" s="240" t="n">
        <x:f>MAX(0,I30-I31-I32)</x:f>
        <x:v>3.295878566710001</x:v>
      </x:c>
      <x:c r="J33" s="240" t="n">
        <x:f>MAX(0,J30-J31-J32)</x:f>
        <x:v>3.4984610984509</x:v>
      </x:c>
      <x:c r="K33" s="240" t="n">
        <x:f>MAX(0,K30-K31-K32)</x:f>
        <x:v>3.707659854282326</x:v>
      </x:c>
      <x:c r="L33" s="240" t="n">
        <x:f>MAX(0,L30-L31-L32)</x:f>
        <x:v>3.9236697674818237</x:v>
      </x:c>
      <x:c r="M33" s="240" t="n">
        <x:f>MAX(0,M30-M31-M32)</x:f>
        <x:v>4.14669139150358</x:v>
      </x:c>
      <x:c r="N33" s="240" t="n">
        <x:f>MAX(0,N30-N31-N32)</x:f>
        <x:v>4.376931062548602</x:v>
      </x:c>
      <x:c r="O33" s="240" t="n">
        <x:f>MAX(0,O30-O31-O32)</x:f>
        <x:v>4.614601066882189</x:v>
      </x:c>
      <x:c r="P33" s="240" t="n">
        <x:f>MAX(0,P30-P31-P32)</x:f>
        <x:v>4.859919813038623</x:v>
      </x:c>
      <x:c r="Q33" s="240" t="n">
        <x:f>MAX(0,Q30-Q31-Q32)</x:f>
        <x:v>5.055722336826918</x:v>
      </x:c>
      <x:c r="R33" s="240" t="n">
        <x:f>MAX(0,R30-R31-R32)</x:f>
        <x:v>5.257907810269817</x:v>
      </x:c>
      <x:c r="S33" s="240" t="n">
        <x:f>MAX(0,S30-S31-S32)</x:f>
        <x:v>5.466675354966075</x:v>
      </x:c>
    </x:row>
    <x:row r="34">
      <x:c r="A34" s="239"/>
      <x:c r="B34" s="240"/>
      <x:c r="C34" s="240"/>
      <x:c r="D34" s="240"/>
      <x:c r="E34" s="240"/>
      <x:c r="F34" s="240"/>
      <x:c r="G34" s="240"/>
      <x:c r="H34" s="240"/>
      <x:c r="I34" s="240"/>
      <x:c r="J34" s="240"/>
      <x:c r="K34" s="240"/>
      <x:c r="L34" s="240"/>
      <x:c r="M34" s="240"/>
      <x:c r="N34" s="240"/>
      <x:c r="O34" s="240"/>
      <x:c r="P34" s="240"/>
      <x:c r="Q34" s="240"/>
      <x:c r="R34" s="240"/>
      <x:c r="S34" s="240"/>
    </x:row>
    <x:row r="35">
      <x:c r="A35" s="125" t="str">
        <x:v>4. ČISTÝ DOPAD NA ROZPOČET OBCE</x:v>
      </x:c>
      <x:c r="B35" s="127"/>
      <x:c r="C35" s="127"/>
      <x:c r="D35" s="127"/>
      <x:c r="E35" s="127"/>
      <x:c r="F35" s="127"/>
      <x:c r="G35" s="127"/>
      <x:c r="H35" s="127"/>
      <x:c r="I35" s="127"/>
      <x:c r="J35" s="127"/>
      <x:c r="K35" s="127"/>
      <x:c r="L35" s="127"/>
      <x:c r="M35" s="127"/>
      <x:c r="N35" s="127"/>
      <x:c r="O35" s="127"/>
      <x:c r="P35" s="127"/>
      <x:c r="Q35" s="127"/>
      <x:c r="R35" s="127"/>
      <x:c r="S35" s="127"/>
    </x:row>
    <x:row r="36">
      <x:c r="A36" s="239" t="str">
        <x:v>Přímé vlastní investiční zdroje + vybavení</x:v>
      </x:c>
      <x:c r="B36" s="240" t="n">
        <x:f>B7+B10+B11</x:f>
        <x:v>70.5</x:v>
      </x:c>
      <x:c r="C36" s="240" t="n">
        <x:f>C7+C10+C11</x:f>
        <x:v>6.9</x:v>
      </x:c>
      <x:c r="D36" s="240" t="n">
        <x:f>D7+D10+D11</x:f>
        <x:v>8.7</x:v>
      </x:c>
      <x:c r="E36" s="240" t="n">
        <x:f>E7+E10+E11</x:f>
        <x:v>1</x:v>
      </x:c>
      <x:c r="F36" s="240" t="n">
        <x:f>F7+F10+F11</x:f>
        <x:v>1</x:v>
      </x:c>
      <x:c r="G36" s="240" t="n">
        <x:f>G7+G10+G11</x:f>
        <x:v>0</x:v>
      </x:c>
      <x:c r="H36" s="240" t="n">
        <x:f>H7+H10+H11</x:f>
        <x:v>0</x:v>
      </x:c>
      <x:c r="I36" s="240" t="n">
        <x:f>I7+I10+I11</x:f>
        <x:v>0</x:v>
      </x:c>
      <x:c r="J36" s="240" t="n">
        <x:f>J7+J10+J11</x:f>
        <x:v>0</x:v>
      </x:c>
      <x:c r="K36" s="240" t="n">
        <x:f>K7+K10+K11</x:f>
        <x:v>0</x:v>
      </x:c>
      <x:c r="L36" s="240" t="n">
        <x:f>L7+L10+L11</x:f>
        <x:v>0</x:v>
      </x:c>
      <x:c r="M36" s="240" t="n">
        <x:f>M7+M10+M11</x:f>
        <x:v>0</x:v>
      </x:c>
      <x:c r="N36" s="240" t="n">
        <x:f>N7+N10+N11</x:f>
        <x:v>0</x:v>
      </x:c>
      <x:c r="O36" s="240" t="n">
        <x:f>O7+O10+O11</x:f>
        <x:v>0</x:v>
      </x:c>
      <x:c r="P36" s="240" t="n">
        <x:f>P7+P10+P11</x:f>
        <x:v>0</x:v>
      </x:c>
      <x:c r="Q36" s="240" t="n">
        <x:f>Q7+Q10+Q11</x:f>
        <x:v>0</x:v>
      </x:c>
      <x:c r="R36" s="240" t="n">
        <x:f>R7+R10+R11</x:f>
        <x:v>0</x:v>
      </x:c>
      <x:c r="S36" s="240" t="n">
        <x:f>S7+S10+S11</x:f>
        <x:v>0</x:v>
      </x:c>
    </x:row>
    <x:row r="37">
      <x:c r="A37" s="239" t="str">
        <x:v>Dluhová služba</x:v>
      </x:c>
      <x:c r="B37" s="240" t="n">
        <x:f>B19</x:f>
        <x:v>0</x:v>
      </x:c>
      <x:c r="C37" s="240" t="n">
        <x:f>C19</x:f>
        <x:v>0</x:v>
      </x:c>
      <x:c r="D37" s="240" t="n">
        <x:f>D19</x:f>
        <x:v>0</x:v>
      </x:c>
      <x:c r="E37" s="240" t="n">
        <x:f>E19</x:f>
        <x:v>6.1880621137142935</x:v>
      </x:c>
      <x:c r="F37" s="240" t="n">
        <x:f>F19</x:f>
        <x:v>6.1880621137142935</x:v>
      </x:c>
      <x:c r="G37" s="240" t="n">
        <x:f>G19</x:f>
        <x:v>6.1880621137142935</x:v>
      </x:c>
      <x:c r="H37" s="240" t="n">
        <x:f>H19</x:f>
        <x:v>6.1880621137142935</x:v>
      </x:c>
      <x:c r="I37" s="240" t="n">
        <x:f>I19</x:f>
        <x:v>6.1880621137142935</x:v>
      </x:c>
      <x:c r="J37" s="240" t="n">
        <x:f>J19</x:f>
        <x:v>6.1880621137142935</x:v>
      </x:c>
      <x:c r="K37" s="240" t="n">
        <x:f>K19</x:f>
        <x:v>6.1880621137142935</x:v>
      </x:c>
      <x:c r="L37" s="240" t="n">
        <x:f>L19</x:f>
        <x:v>6.1880621137142935</x:v>
      </x:c>
      <x:c r="M37" s="240" t="n">
        <x:f>M19</x:f>
        <x:v>6.1880621137142935</x:v>
      </x:c>
      <x:c r="N37" s="240" t="n">
        <x:f>N19</x:f>
        <x:v>6.1880621137142935</x:v>
      </x:c>
      <x:c r="O37" s="240" t="n">
        <x:f>O19</x:f>
        <x:v>6.1880621137142935</x:v>
      </x:c>
      <x:c r="P37" s="240" t="n">
        <x:f>P19</x:f>
        <x:v>6.1880621137142935</x:v>
      </x:c>
      <x:c r="Q37" s="240" t="n">
        <x:f>Q19</x:f>
        <x:v>6.1880621137142935</x:v>
      </x:c>
      <x:c r="R37" s="240" t="n">
        <x:f>R19</x:f>
        <x:v>6.1880621137142935</x:v>
      </x:c>
      <x:c r="S37" s="240" t="n">
        <x:f>S19</x:f>
        <x:v>6.1880621137142935</x:v>
      </x:c>
    </x:row>
    <x:row r="38">
      <x:c r="A38" s="239" t="str">
        <x:v>Čistý dodatečný provoz</x:v>
      </x:c>
      <x:c r="B38" s="240" t="n">
        <x:f>B33</x:f>
        <x:v>0</x:v>
      </x:c>
      <x:c r="C38" s="240" t="n">
        <x:f>C33</x:f>
        <x:v>0</x:v>
      </x:c>
      <x:c r="D38" s="240" t="n">
        <x:f>D33</x:f>
        <x:v>0</x:v>
      </x:c>
      <x:c r="E38" s="240" t="n">
        <x:f>E33</x:f>
        <x:v>4.72</x:v>
      </x:c>
      <x:c r="F38" s="240" t="n">
        <x:f>F33</x:f>
        <x:v>3.99996</x:v>
      </x:c>
      <x:c r="G38" s="240" t="n">
        <x:f>G33</x:f>
        <x:v>3.5155818999999995</x:v>
      </x:c>
      <x:c r="H38" s="240" t="n">
        <x:f>H33</x:f>
        <x:v>3.0997227880000016</x:v>
      </x:c>
      <x:c r="I38" s="240" t="n">
        <x:f>I33</x:f>
        <x:v>3.295878566710001</x:v>
      </x:c>
      <x:c r="J38" s="240" t="n">
        <x:f>J33</x:f>
        <x:v>3.4984610984509</x:v>
      </x:c>
      <x:c r="K38" s="240" t="n">
        <x:f>K33</x:f>
        <x:v>3.707659854282326</x:v>
      </x:c>
      <x:c r="L38" s="240" t="n">
        <x:f>L33</x:f>
        <x:v>3.9236697674818237</x:v>
      </x:c>
      <x:c r="M38" s="240" t="n">
        <x:f>M33</x:f>
        <x:v>4.14669139150358</x:v>
      </x:c>
      <x:c r="N38" s="240" t="n">
        <x:f>N33</x:f>
        <x:v>4.376931062548602</x:v>
      </x:c>
      <x:c r="O38" s="240" t="n">
        <x:f>O33</x:f>
        <x:v>4.614601066882189</x:v>
      </x:c>
      <x:c r="P38" s="240" t="n">
        <x:f>P33</x:f>
        <x:v>4.859919813038623</x:v>
      </x:c>
      <x:c r="Q38" s="240" t="n">
        <x:f>Q33</x:f>
        <x:v>5.055722336826918</x:v>
      </x:c>
      <x:c r="R38" s="240" t="n">
        <x:f>R33</x:f>
        <x:v>5.257907810269817</x:v>
      </x:c>
      <x:c r="S38" s="240" t="n">
        <x:f>S33</x:f>
        <x:v>5.466675354966075</x:v>
      </x:c>
    </x:row>
    <x:row r="39">
      <x:c r="A39" s="244" t="str">
        <x:v>Celkový roční dopad školy na rozpočet obce</x:v>
      </x:c>
      <x:c r="B39" s="245" t="n">
        <x:f>SUM(B36:B38)</x:f>
        <x:v>70.5</x:v>
      </x:c>
      <x:c r="C39" s="245" t="n">
        <x:f>SUM(C36:C38)</x:f>
        <x:v>6.9</x:v>
      </x:c>
      <x:c r="D39" s="245" t="n">
        <x:f>SUM(D36:D38)</x:f>
        <x:v>8.7</x:v>
      </x:c>
      <x:c r="E39" s="245" t="n">
        <x:f>SUM(E36:E38)</x:f>
        <x:v>11.908062113714294</x:v>
      </x:c>
      <x:c r="F39" s="245" t="n">
        <x:f>SUM(F36:F38)</x:f>
        <x:v>11.188022113714293</x:v>
      </x:c>
      <x:c r="G39" s="245" t="n">
        <x:f>SUM(G36:G38)</x:f>
        <x:v>9.703644013714293</x:v>
      </x:c>
      <x:c r="H39" s="245" t="n">
        <x:f>SUM(H36:H38)</x:f>
        <x:v>9.287784901714295</x:v>
      </x:c>
      <x:c r="I39" s="245" t="n">
        <x:f>SUM(I36:I38)</x:f>
        <x:v>9.483940680424293</x:v>
      </x:c>
      <x:c r="J39" s="245" t="n">
        <x:f>SUM(J36:J38)</x:f>
        <x:v>9.686523212165193</x:v>
      </x:c>
      <x:c r="K39" s="245" t="n">
        <x:f>SUM(K36:K38)</x:f>
        <x:v>9.89572196799662</x:v>
      </x:c>
      <x:c r="L39" s="245" t="n">
        <x:f>SUM(L36:L38)</x:f>
        <x:v>10.111731881196118</x:v>
      </x:c>
      <x:c r="M39" s="245" t="n">
        <x:f>SUM(M36:M38)</x:f>
        <x:v>10.334753505217874</x:v>
      </x:c>
      <x:c r="N39" s="245" t="n">
        <x:f>SUM(N36:N38)</x:f>
        <x:v>10.564993176262895</x:v>
      </x:c>
      <x:c r="O39" s="245" t="n">
        <x:f>SUM(O36:O38)</x:f>
        <x:v>10.802663180596483</x:v>
      </x:c>
      <x:c r="P39" s="245" t="n">
        <x:f>SUM(P36:P38)</x:f>
        <x:v>11.047981926752916</x:v>
      </x:c>
      <x:c r="Q39" s="245" t="n">
        <x:f>SUM(Q36:Q38)</x:f>
        <x:v>11.243784450541211</x:v>
      </x:c>
      <x:c r="R39" s="245" t="n">
        <x:f>SUM(R36:R38)</x:f>
        <x:v>11.44596992398411</x:v>
      </x:c>
      <x:c r="S39" s="245" t="n">
        <x:f>SUM(S36:S38)</x:f>
        <x:v>11.654737468680368</x:v>
      </x:c>
    </x:row>
    <x:row r="40">
      <x:c r="A40" s="244" t="str">
        <x:v>Kumulativní dopad na rozpočet obce</x:v>
      </x:c>
      <x:c r="B40" s="245" t="n">
        <x:f>B39</x:f>
        <x:v>70.5</x:v>
      </x:c>
      <x:c r="C40" s="245" t="n">
        <x:f>B40+C39</x:f>
        <x:v>77.4</x:v>
      </x:c>
      <x:c r="D40" s="245" t="n">
        <x:f>C40+D39</x:f>
        <x:v>86.10000000000001</x:v>
      </x:c>
      <x:c r="E40" s="245" t="n">
        <x:f>D40+E39</x:f>
        <x:v>98.0080621137143</x:v>
      </x:c>
      <x:c r="F40" s="245" t="n">
        <x:f>E40+F39</x:f>
        <x:v>109.1960842274286</x:v>
      </x:c>
      <x:c r="G40" s="245" t="n">
        <x:f>F40+G39</x:f>
        <x:v>118.8997282411429</x:v>
      </x:c>
      <x:c r="H40" s="245" t="n">
        <x:f>G40+H39</x:f>
        <x:v>128.1875131428572</x:v>
      </x:c>
      <x:c r="I40" s="245" t="n">
        <x:f>H40+I39</x:f>
        <x:v>137.6714538232815</x:v>
      </x:c>
      <x:c r="J40" s="245" t="n">
        <x:f>I40+J39</x:f>
        <x:v>147.35797703544668</x:v>
      </x:c>
      <x:c r="K40" s="245" t="n">
        <x:f>J40+K39</x:f>
        <x:v>157.2536990034433</x:v>
      </x:c>
      <x:c r="L40" s="245" t="n">
        <x:f>K40+L39</x:f>
        <x:v>167.3654308846394</x:v>
      </x:c>
      <x:c r="M40" s="245" t="n">
        <x:f>L40+M39</x:f>
        <x:v>177.70018438985727</x:v>
      </x:c>
      <x:c r="N40" s="245" t="n">
        <x:f>M40+N39</x:f>
        <x:v>188.26517756612017</x:v>
      </x:c>
      <x:c r="O40" s="245" t="n">
        <x:f>N40+O39</x:f>
        <x:v>199.06784074671666</x:v>
      </x:c>
      <x:c r="P40" s="245" t="n">
        <x:f>O40+P39</x:f>
        <x:v>210.11582267346958</x:v>
      </x:c>
      <x:c r="Q40" s="245" t="n">
        <x:f>P40+Q39</x:f>
        <x:v>221.35960712401078</x:v>
      </x:c>
      <x:c r="R40" s="245" t="n">
        <x:f>Q40+R39</x:f>
        <x:v>232.8055770479949</x:v>
      </x:c>
      <x:c r="S40" s="245" t="n">
        <x:f>R40+S39</x:f>
        <x:v>244.46031451667525</x:v>
      </x:c>
    </x:row>
    <x:row r="41">
      <x:c r="A41" s="239"/>
      <x:c r="B41" s="240"/>
      <x:c r="C41" s="240"/>
      <x:c r="D41" s="240"/>
      <x:c r="E41" s="240"/>
      <x:c r="F41" s="240"/>
      <x:c r="G41" s="240"/>
      <x:c r="H41" s="240"/>
      <x:c r="I41" s="240"/>
      <x:c r="J41" s="240"/>
      <x:c r="K41" s="240"/>
      <x:c r="L41" s="240"/>
      <x:c r="M41" s="240"/>
      <x:c r="N41" s="240"/>
      <x:c r="O41" s="240"/>
      <x:c r="P41" s="240"/>
      <x:c r="Q41" s="240"/>
      <x:c r="R41" s="240"/>
      <x:c r="S41" s="240"/>
    </x:row>
    <x:row r="42">
      <x:c r="A42" s="239"/>
      <x:c r="B42" s="240"/>
      <x:c r="C42" s="240"/>
      <x:c r="D42" s="240"/>
      <x:c r="E42" s="240"/>
      <x:c r="F42" s="240"/>
      <x:c r="G42" s="240"/>
      <x:c r="H42" s="240"/>
      <x:c r="I42" s="240"/>
      <x:c r="J42" s="240"/>
      <x:c r="K42" s="240"/>
      <x:c r="L42" s="240"/>
      <x:c r="M42" s="240"/>
      <x:c r="N42" s="240"/>
      <x:c r="O42" s="240"/>
      <x:c r="P42" s="240"/>
      <x:c r="Q42" s="240"/>
      <x:c r="R42" s="240"/>
      <x:c r="S42" s="240"/>
    </x:row>
    <x:row r="43">
      <x:c r="A43" s="155" t="str">
        <x:v>KLÍČOVÉ VÝSLEDKY SCÉNÁŘE</x:v>
      </x:c>
      <x:c r="B43" s="156"/>
      <x:c r="C43" s="156"/>
      <x:c r="D43" s="156"/>
      <x:c r="E43" s="156"/>
      <x:c r="F43" s="156"/>
      <x:c r="G43" s="156"/>
      <x:c r="H43" s="156"/>
      <x:c r="I43" s="156"/>
      <x:c r="J43" s="156"/>
      <x:c r="K43" s="156"/>
      <x:c r="L43" s="156"/>
      <x:c r="M43" s="156"/>
      <x:c r="N43" s="156"/>
      <x:c r="O43" s="156"/>
      <x:c r="P43" s="156"/>
      <x:c r="Q43" s="156"/>
      <x:c r="R43" s="156"/>
      <x:c r="S43" s="156"/>
    </x:row>
    <x:row r="44">
      <x:c r="A44" s="244" t="str">
        <x:v>Cena stavebního díla po modelové rezervě</x:v>
      </x:c>
      <x:c r="B44" s="245" t="n">
        <x:f>'Předpoklady'!E6</x:f>
        <x:v>145.2</x:v>
      </x:c>
      <x:c r="C44" s="240"/>
      <x:c r="D44" s="119" t="str">
        <x:v>Interpretace: tento scénář je model citlivosti, ne rozpočet. Neznámé parametry (úrok, skutečné technologie, servis, harmonogram plateb, dotace a návštěvnost) musí vedení obce doložit konkrétními podklady. Model používá konzervativní RUD 20 tis. Kč na fyzického žáka podle vlastního podkladu obce, nikoli automaticky plný údaj MF 36,786 tis. Kč na přepočteného žáka.</x:v>
      </x:c>
      <x:c r="E44" s="119"/>
      <x:c r="F44" s="119"/>
      <x:c r="G44" s="119"/>
      <x:c r="H44" s="119"/>
      <x:c r="I44" s="119"/>
      <x:c r="J44" s="119"/>
      <x:c r="K44" s="119"/>
      <x:c r="L44" s="119"/>
      <x:c r="M44" s="119"/>
      <x:c r="N44" s="119"/>
      <x:c r="O44" s="119"/>
      <x:c r="P44" s="119"/>
      <x:c r="Q44" s="119"/>
      <x:c r="R44" s="119"/>
      <x:c r="S44" s="119"/>
    </x:row>
    <x:row r="45">
      <x:c r="A45" s="244" t="str">
        <x:v>Dotace</x:v>
      </x:c>
      <x:c r="B45" s="245" t="n">
        <x:f>'Předpoklady'!E8</x:f>
        <x:v>0</x:v>
      </x:c>
      <x:c r="C45" s="240"/>
      <x:c r="D45" s="119"/>
      <x:c r="E45" s="119"/>
      <x:c r="F45" s="119"/>
      <x:c r="G45" s="119"/>
      <x:c r="H45" s="119"/>
      <x:c r="I45" s="119"/>
      <x:c r="J45" s="119"/>
      <x:c r="K45" s="119"/>
      <x:c r="L45" s="119"/>
      <x:c r="M45" s="119"/>
      <x:c r="N45" s="119"/>
      <x:c r="O45" s="119"/>
      <x:c r="P45" s="119"/>
      <x:c r="Q45" s="119"/>
      <x:c r="R45" s="119"/>
      <x:c r="S45" s="119"/>
    </x:row>
    <x:row r="46">
      <x:c r="A46" s="244" t="str">
        <x:v>Úvěr – jistina</x:v>
      </x:c>
      <x:c r="B46" s="245" t="n">
        <x:f>'Předpoklady'!E9</x:f>
        <x:v>60.099999999999994</x:v>
      </x:c>
      <x:c r="C46" s="240"/>
      <x:c r="D46" s="119"/>
      <x:c r="E46" s="119"/>
      <x:c r="F46" s="119"/>
      <x:c r="G46" s="119"/>
      <x:c r="H46" s="119"/>
      <x:c r="I46" s="119"/>
      <x:c r="J46" s="119"/>
      <x:c r="K46" s="119"/>
      <x:c r="L46" s="119"/>
      <x:c r="M46" s="119"/>
      <x:c r="N46" s="119"/>
      <x:c r="O46" s="119"/>
      <x:c r="P46" s="119"/>
      <x:c r="Q46" s="119"/>
      <x:c r="R46" s="119"/>
      <x:c r="S46" s="119"/>
    </x:row>
    <x:row r="47">
      <x:c r="A47" s="244" t="str">
        <x:v>První plná roční splátka úvěru</x:v>
      </x:c>
      <x:c r="B47" s="245" t="n">
        <x:f>E19</x:f>
        <x:v>6.1880621137142935</x:v>
      </x:c>
      <x:c r="C47" s="240"/>
      <x:c r="D47" s="119"/>
      <x:c r="E47" s="119"/>
      <x:c r="F47" s="119"/>
      <x:c r="G47" s="119"/>
      <x:c r="H47" s="119"/>
      <x:c r="I47" s="119"/>
      <x:c r="J47" s="119"/>
      <x:c r="K47" s="119"/>
      <x:c r="L47" s="119"/>
      <x:c r="M47" s="119"/>
      <x:c r="N47" s="119"/>
      <x:c r="O47" s="119"/>
      <x:c r="P47" s="119"/>
      <x:c r="Q47" s="119"/>
      <x:c r="R47" s="119"/>
      <x:c r="S47" s="119"/>
    </x:row>
    <x:row r="48">
      <x:c r="A48" s="244" t="str">
        <x:v>Celkové úroky za 15 let</x:v>
      </x:c>
      <x:c r="B48" s="245" t="n">
        <x:f>SUM(E18:S18)</x:f>
        <x:v>32.72093170571439</x:v>
      </x:c>
      <x:c r="C48" s="240"/>
      <x:c r="D48" s="119"/>
      <x:c r="E48" s="119"/>
      <x:c r="F48" s="119"/>
      <x:c r="G48" s="119"/>
      <x:c r="H48" s="119"/>
      <x:c r="I48" s="119"/>
      <x:c r="J48" s="119"/>
      <x:c r="K48" s="119"/>
      <x:c r="L48" s="119"/>
      <x:c r="M48" s="119"/>
      <x:c r="N48" s="119"/>
      <x:c r="O48" s="119"/>
      <x:c r="P48" s="119"/>
      <x:c r="Q48" s="119"/>
      <x:c r="R48" s="119"/>
      <x:c r="S48" s="119"/>
    </x:row>
    <x:row r="49">
      <x:c r="A49" s="244" t="str">
        <x:v>Celkem splátky úvěru (jistina + úroky)</x:v>
      </x:c>
      <x:c r="B49" s="245" t="n">
        <x:f>SUM(E19:S19)</x:f>
        <x:v>92.82093170571441</x:v>
      </x:c>
      <x:c r="C49" s="240"/>
      <x:c r="D49" s="119"/>
      <x:c r="E49" s="119"/>
      <x:c r="F49" s="119"/>
      <x:c r="G49" s="119"/>
      <x:c r="H49" s="119"/>
      <x:c r="I49" s="119"/>
      <x:c r="J49" s="119"/>
      <x:c r="K49" s="119"/>
      <x:c r="L49" s="119"/>
      <x:c r="M49" s="119"/>
      <x:c r="N49" s="119"/>
      <x:c r="O49" s="119"/>
      <x:c r="P49" s="119"/>
      <x:c r="Q49" s="119"/>
      <x:c r="R49" s="119"/>
      <x:c r="S49" s="119"/>
    </x:row>
    <x:row r="50">
      <x:c r="A50" s="244" t="str">
        <x:v>Vybavení</x:v>
      </x:c>
      <x:c r="B50" s="245" t="n">
        <x:f>SUM(B7:S7)</x:f>
        <x:v>3</x:v>
      </x:c>
      <x:c r="C50" s="240"/>
      <x:c r="D50" s="119"/>
      <x:c r="E50" s="119"/>
      <x:c r="F50" s="119"/>
      <x:c r="G50" s="119"/>
      <x:c r="H50" s="119"/>
      <x:c r="I50" s="119"/>
      <x:c r="J50" s="119"/>
      <x:c r="K50" s="119"/>
      <x:c r="L50" s="119"/>
      <x:c r="M50" s="119"/>
      <x:c r="N50" s="119"/>
      <x:c r="O50" s="119"/>
      <x:c r="P50" s="119"/>
      <x:c r="Q50" s="119"/>
      <x:c r="R50" s="119"/>
      <x:c r="S50" s="119"/>
    </x:row>
    <x:row r="51">
      <x:c r="A51" s="244" t="str">
        <x:v>Čistý investiční náklad obce po dotacích + úrocích</x:v>
      </x:c>
      <x:c r="B51" s="245" t="n">
        <x:f>B44-B45+B48+B50</x:f>
        <x:v>180.9209317057144</x:v>
      </x:c>
      <x:c r="C51" s="240"/>
      <x:c r="D51" s="119"/>
      <x:c r="E51" s="119"/>
      <x:c r="F51" s="119"/>
      <x:c r="G51" s="119"/>
      <x:c r="H51" s="119"/>
      <x:c r="I51" s="119"/>
      <x:c r="J51" s="119"/>
      <x:c r="K51" s="119"/>
      <x:c r="L51" s="119"/>
      <x:c r="M51" s="119"/>
      <x:c r="N51" s="119"/>
      <x:c r="O51" s="119"/>
      <x:c r="P51" s="119"/>
      <x:c r="Q51" s="119"/>
      <x:c r="R51" s="119"/>
      <x:c r="S51" s="119"/>
    </x:row>
    <x:row r="52">
      <x:c r="A52" s="244" t="str">
        <x:v>Hrubý provoz 2029–2043</x:v>
      </x:c>
      <x:c r="B52" s="245" t="n">
        <x:f>SUM(E30:S30)</x:f>
        <x:v>102.88919162118098</x:v>
      </x:c>
      <x:c r="C52" s="240"/>
      <x:c r="D52" s="119"/>
      <x:c r="E52" s="119"/>
      <x:c r="F52" s="119"/>
      <x:c r="G52" s="119"/>
      <x:c r="H52" s="119"/>
      <x:c r="I52" s="119"/>
      <x:c r="J52" s="119"/>
      <x:c r="K52" s="119"/>
      <x:c r="L52" s="119"/>
      <x:c r="M52" s="119"/>
      <x:c r="N52" s="119"/>
      <x:c r="O52" s="119"/>
      <x:c r="P52" s="119"/>
      <x:c r="Q52" s="119"/>
      <x:c r="R52" s="119"/>
      <x:c r="S52" s="119"/>
    </x:row>
    <x:row r="53">
      <x:c r="A53" s="244" t="str">
        <x:v>Možné kompenzace RUD + Neratovice</x:v>
      </x:c>
      <x:c r="B53" s="245" t="n">
        <x:f>SUM(E31:S32)</x:f>
        <x:v>39.34980881022014</x:v>
      </x:c>
      <x:c r="C53" s="240"/>
      <x:c r="D53" s="119"/>
      <x:c r="E53" s="119"/>
      <x:c r="F53" s="119"/>
      <x:c r="G53" s="119"/>
      <x:c r="H53" s="119"/>
      <x:c r="I53" s="119"/>
      <x:c r="J53" s="119"/>
      <x:c r="K53" s="119"/>
      <x:c r="L53" s="119"/>
      <x:c r="M53" s="119"/>
      <x:c r="N53" s="119"/>
      <x:c r="O53" s="119"/>
      <x:c r="P53" s="119"/>
      <x:c r="Q53" s="119"/>
      <x:c r="R53" s="119"/>
      <x:c r="S53" s="119"/>
    </x:row>
    <x:row r="54">
      <x:c r="A54" s="244" t="str">
        <x:v>Čistý provoz 2029–2043</x:v>
      </x:c>
      <x:c r="B54" s="245" t="n">
        <x:f>SUM(E33:S33)</x:f>
        <x:v>63.539382810960845</x:v>
      </x:c>
      <x:c r="C54" s="240"/>
      <x:c r="D54" s="119"/>
      <x:c r="E54" s="119"/>
      <x:c r="F54" s="119"/>
      <x:c r="G54" s="119"/>
      <x:c r="H54" s="119"/>
      <x:c r="I54" s="119"/>
      <x:c r="J54" s="119"/>
      <x:c r="K54" s="119"/>
      <x:c r="L54" s="119"/>
      <x:c r="M54" s="119"/>
      <x:c r="N54" s="119"/>
      <x:c r="O54" s="119"/>
      <x:c r="P54" s="119"/>
      <x:c r="Q54" s="119"/>
      <x:c r="R54" s="119"/>
      <x:c r="S54" s="119"/>
    </x:row>
    <x:row r="55">
      <x:c r="A55" s="249" t="str">
        <x:v>Celkový čistý dopad na rozpočet obce do 2043</x:v>
      </x:c>
      <x:c r="B55" s="250" t="n">
        <x:f>B51+B54</x:f>
        <x:v>244.46031451667523</x:v>
      </x:c>
      <x:c r="C55" s="240"/>
      <x:c r="D55" s="119"/>
      <x:c r="E55" s="119"/>
      <x:c r="F55" s="119"/>
      <x:c r="G55" s="119"/>
      <x:c r="H55" s="119"/>
      <x:c r="I55" s="119"/>
      <x:c r="J55" s="119"/>
      <x:c r="K55" s="119"/>
      <x:c r="L55" s="119"/>
      <x:c r="M55" s="119"/>
      <x:c r="N55" s="119"/>
      <x:c r="O55" s="119"/>
      <x:c r="P55" s="119"/>
      <x:c r="Q55" s="119"/>
      <x:c r="R55" s="119"/>
      <x:c r="S55" s="119"/>
    </x:row>
  </x:sheetData>
  <x:mergeCells>
    <x:mergeCell ref="A1:S1"/>
    <x:mergeCell ref="A5:S5"/>
    <x:mergeCell ref="A16:S16"/>
    <x:mergeCell ref="A23:S23"/>
    <x:mergeCell ref="A35:S35"/>
    <x:mergeCell ref="A43:S43"/>
    <x:mergeCell ref="D44:S55"/>
  </x:mergeCells>
  <x:conditionalFormatting sqref="B39:S40">
    <x:cfRule type="expression" dxfId="1" priority="1">
      <x:formula>B39&lt;0</x:formula>
    </x:cfRule>
  </x:conditionalFormatting>
  <x:pageMargins left="0.7" right="0.7" top="0.75" bottom="0.75" header="0.3" footer="0.3"/>
</x:worksheet>
</file>

<file path=xl/worksheets/sheet6.xml><?xml version="1.0" encoding="utf-8"?>
<x:worksheet xmlns:x="http://schemas.openxmlformats.org/spreadsheetml/2006/main">
  <x:sheetFormatPr defaultRowHeight="15"/>
  <x:cols>
    <x:col min="1" max="1" width="43"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s>
  <x:sheetData>
    <x:row r="1" ht="28" customHeight="1">
      <x:c r="A1" s="26" t="str">
        <x:v>WORST – dlouhodobý cash-flow školy (mil. Kč)</x:v>
      </x:c>
      <x:c r="B1" s="26"/>
      <x:c r="C1" s="26"/>
      <x:c r="D1" s="26"/>
      <x:c r="E1" s="26"/>
      <x:c r="F1" s="26"/>
      <x:c r="G1" s="26"/>
      <x:c r="H1" s="26"/>
      <x:c r="I1" s="26"/>
      <x:c r="J1" s="26"/>
      <x:c r="K1" s="26"/>
      <x:c r="L1" s="26"/>
      <x:c r="M1" s="26"/>
      <x:c r="N1" s="26"/>
      <x:c r="O1" s="26"/>
      <x:c r="P1" s="26"/>
      <x:c r="Q1" s="26"/>
      <x:c r="R1" s="26"/>
      <x:c r="S1" s="26"/>
    </x:row>
    <x:row r="4">
      <x:c r="A4" s="123" t="str">
        <x:v>Položka</x:v>
      </x:c>
      <x:c r="B4" s="124" t="n">
        <x:v>2026</x:v>
      </x:c>
      <x:c r="C4" s="124" t="n">
        <x:v>2027</x:v>
      </x:c>
      <x:c r="D4" s="124" t="n">
        <x:v>2028</x:v>
      </x:c>
      <x:c r="E4" s="124" t="n">
        <x:v>2029</x:v>
      </x:c>
      <x:c r="F4" s="124" t="n">
        <x:v>2030</x:v>
      </x:c>
      <x:c r="G4" s="124" t="n">
        <x:v>2031</x:v>
      </x:c>
      <x:c r="H4" s="124" t="n">
        <x:v>2032</x:v>
      </x:c>
      <x:c r="I4" s="124" t="n">
        <x:v>2033</x:v>
      </x:c>
      <x:c r="J4" s="124" t="n">
        <x:v>2034</x:v>
      </x:c>
      <x:c r="K4" s="124" t="n">
        <x:v>2035</x:v>
      </x:c>
      <x:c r="L4" s="124" t="n">
        <x:v>2036</x:v>
      </x:c>
      <x:c r="M4" s="124" t="n">
        <x:v>2037</x:v>
      </x:c>
      <x:c r="N4" s="124" t="n">
        <x:v>2038</x:v>
      </x:c>
      <x:c r="O4" s="124" t="n">
        <x:v>2039</x:v>
      </x:c>
      <x:c r="P4" s="124" t="n">
        <x:v>2040</x:v>
      </x:c>
      <x:c r="Q4" s="124" t="n">
        <x:v>2041</x:v>
      </x:c>
      <x:c r="R4" s="124" t="n">
        <x:v>2042</x:v>
      </x:c>
      <x:c r="S4" s="124" t="n">
        <x:v>2043</x:v>
      </x:c>
    </x:row>
    <x:row r="5">
      <x:c r="A5" s="125" t="str">
        <x:v>1. INVESTICE A FINANCOVÁNÍ VÝSTAVBY</x:v>
      </x:c>
      <x:c r="B5" s="125"/>
      <x:c r="C5" s="125"/>
      <x:c r="D5" s="125"/>
      <x:c r="E5" s="125"/>
      <x:c r="F5" s="125"/>
      <x:c r="G5" s="125"/>
      <x:c r="H5" s="125"/>
      <x:c r="I5" s="125"/>
      <x:c r="J5" s="125"/>
      <x:c r="K5" s="125"/>
      <x:c r="L5" s="125"/>
      <x:c r="M5" s="125"/>
      <x:c r="N5" s="125"/>
      <x:c r="O5" s="125"/>
      <x:c r="P5" s="125"/>
      <x:c r="Q5" s="125"/>
      <x:c r="R5" s="125"/>
      <x:c r="S5" s="125"/>
    </x:row>
    <x:row r="6">
      <x:c r="A6" s="239" t="str">
        <x:v>Platby zhotoviteli (DEMO kalendář)</x:v>
      </x:c>
      <x:c r="B6" s="240" t="n">
        <x:f>50*'Předpoklady'!F6/'Předpoklady'!F4</x:f>
        <x:v>52.50000000000001</x:v>
      </x:c>
      <x:c r="C6" s="240" t="n">
        <x:f>60*'Předpoklady'!F6/'Předpoklady'!F4</x:f>
        <x:v>63.00000000000001</x:v>
      </x:c>
      <x:c r="D6" s="240" t="n">
        <x:f>35.2*'Předpoklady'!F6/'Předpoklady'!F4</x:f>
        <x:v>36.96000000000001</x:v>
      </x:c>
      <x:c r="E6" s="240" t="n">
        <x:v>0</x:v>
      </x:c>
      <x:c r="F6" s="240" t="n">
        <x:v>0</x:v>
      </x:c>
      <x:c r="G6" s="240" t="n">
        <x:v>0</x:v>
      </x:c>
      <x:c r="H6" s="240" t="n">
        <x:v>0</x:v>
      </x:c>
      <x:c r="I6" s="240" t="n">
        <x:v>0</x:v>
      </x:c>
      <x:c r="J6" s="240" t="n">
        <x:v>0</x:v>
      </x:c>
      <x:c r="K6" s="240" t="n">
        <x:v>0</x:v>
      </x:c>
      <x:c r="L6" s="240" t="n">
        <x:v>0</x:v>
      </x:c>
      <x:c r="M6" s="240" t="n">
        <x:v>0</x:v>
      </x:c>
      <x:c r="N6" s="240" t="n">
        <x:v>0</x:v>
      </x:c>
      <x:c r="O6" s="240" t="n">
        <x:v>0</x:v>
      </x:c>
      <x:c r="P6" s="240" t="n">
        <x:v>0</x:v>
      </x:c>
      <x:c r="Q6" s="240" t="n">
        <x:v>0</x:v>
      </x:c>
      <x:c r="R6" s="240" t="n">
        <x:v>0</x:v>
      </x:c>
      <x:c r="S6" s="240" t="n">
        <x:v>0</x:v>
      </x:c>
    </x:row>
    <x:row r="7">
      <x:c r="A7" s="239" t="str">
        <x:v>Vybavení školy</x:v>
      </x:c>
      <x:c r="B7" s="240" t="n">
        <x:v>0</x:v>
      </x:c>
      <x:c r="C7" s="240" t="n">
        <x:v>0</x:v>
      </x:c>
      <x:c r="D7" s="240" t="n">
        <x:v>2</x:v>
      </x:c>
      <x:c r="E7" s="240" t="n">
        <x:v>1</x:v>
      </x:c>
      <x:c r="F7" s="240" t="n">
        <x:v>1</x:v>
      </x:c>
      <x:c r="G7" s="240" t="n">
        <x:v>0</x:v>
      </x:c>
      <x:c r="H7" s="240" t="n">
        <x:v>0</x:v>
      </x:c>
      <x:c r="I7" s="240" t="n">
        <x:v>0</x:v>
      </x:c>
      <x:c r="J7" s="240" t="n">
        <x:v>0</x:v>
      </x:c>
      <x:c r="K7" s="240" t="n">
        <x:v>0</x:v>
      </x:c>
      <x:c r="L7" s="240" t="n">
        <x:v>0</x:v>
      </x:c>
      <x:c r="M7" s="240" t="n">
        <x:v>0</x:v>
      </x:c>
      <x:c r="N7" s="240" t="n">
        <x:v>0</x:v>
      </x:c>
      <x:c r="O7" s="240" t="n">
        <x:v>0</x:v>
      </x:c>
      <x:c r="P7" s="240" t="n">
        <x:v>0</x:v>
      </x:c>
      <x:c r="Q7" s="240" t="n">
        <x:v>0</x:v>
      </x:c>
      <x:c r="R7" s="240" t="n">
        <x:v>0</x:v>
      </x:c>
      <x:c r="S7" s="240" t="n">
        <x:v>0</x:v>
      </x:c>
    </x:row>
    <x:row r="8">
      <x:c r="A8" s="239" t="str">
        <x:v>Celkové investiční výdaje v roce</x:v>
      </x:c>
      <x:c r="B8" s="240" t="n">
        <x:f>B6+B7</x:f>
        <x:v>52.50000000000001</x:v>
      </x:c>
      <x:c r="C8" s="240" t="n">
        <x:f>C6+C7</x:f>
        <x:v>63.00000000000001</x:v>
      </x:c>
      <x:c r="D8" s="240" t="n">
        <x:f>D6+D7</x:f>
        <x:v>38.96000000000001</x:v>
      </x:c>
      <x:c r="E8" s="240" t="n">
        <x:f>E6+E7</x:f>
        <x:v>1</x:v>
      </x:c>
      <x:c r="F8" s="240" t="n">
        <x:f>F6+F7</x:f>
        <x:v>1</x:v>
      </x:c>
      <x:c r="G8" s="240" t="n">
        <x:f>G6+G7</x:f>
        <x:v>0</x:v>
      </x:c>
      <x:c r="H8" s="240" t="n">
        <x:f>H6+H7</x:f>
        <x:v>0</x:v>
      </x:c>
      <x:c r="I8" s="240" t="n">
        <x:f>I6+I7</x:f>
        <x:v>0</x:v>
      </x:c>
      <x:c r="J8" s="240" t="n">
        <x:f>J6+J7</x:f>
        <x:v>0</x:v>
      </x:c>
      <x:c r="K8" s="240" t="n">
        <x:f>K6+K7</x:f>
        <x:v>0</x:v>
      </x:c>
      <x:c r="L8" s="240" t="n">
        <x:f>L6+L7</x:f>
        <x:v>0</x:v>
      </x:c>
      <x:c r="M8" s="240" t="n">
        <x:f>M6+M7</x:f>
        <x:v>0</x:v>
      </x:c>
      <x:c r="N8" s="240" t="n">
        <x:f>N6+N7</x:f>
        <x:v>0</x:v>
      </x:c>
      <x:c r="O8" s="240" t="n">
        <x:f>O6+O7</x:f>
        <x:v>0</x:v>
      </x:c>
      <x:c r="P8" s="240" t="n">
        <x:f>P6+P7</x:f>
        <x:v>0</x:v>
      </x:c>
      <x:c r="Q8" s="240" t="n">
        <x:f>Q6+Q7</x:f>
        <x:v>0</x:v>
      </x:c>
      <x:c r="R8" s="240" t="n">
        <x:f>R6+R7</x:f>
        <x:v>0</x:v>
      </x:c>
      <x:c r="S8" s="240" t="n">
        <x:f>S6+S7</x:f>
        <x:v>0</x:v>
      </x:c>
    </x:row>
    <x:row r="9">
      <x:c r="A9" s="239" t="str">
        <x:v>Projektová hotovost – počátek roku</x:v>
      </x:c>
      <x:c r="B9" s="240" t="n">
        <x:v>0</x:v>
      </x:c>
      <x:c r="C9" s="240" t="n">
        <x:f>B14</x:f>
        <x:v>17.999999999999993</x:v>
      </x:c>
      <x:c r="D9" s="240" t="n">
        <x:f>C14</x:f>
        <x:v>0</x:v>
      </x:c>
      <x:c r="E9" s="240" t="n">
        <x:f>D14</x:f>
        <x:v>0</x:v>
      </x:c>
      <x:c r="F9" s="240" t="n">
        <x:f>E14</x:f>
        <x:v>0</x:v>
      </x:c>
      <x:c r="G9" s="240" t="n">
        <x:f>F14</x:f>
        <x:v>0</x:v>
      </x:c>
      <x:c r="H9" s="240" t="n">
        <x:f>G14</x:f>
        <x:v>0</x:v>
      </x:c>
      <x:c r="I9" s="240" t="n">
        <x:f>H14</x:f>
        <x:v>0</x:v>
      </x:c>
      <x:c r="J9" s="240" t="n">
        <x:f>I14</x:f>
        <x:v>0</x:v>
      </x:c>
      <x:c r="K9" s="240" t="n">
        <x:f>J14</x:f>
        <x:v>0</x:v>
      </x:c>
      <x:c r="L9" s="240" t="n">
        <x:f>K14</x:f>
        <x:v>0</x:v>
      </x:c>
      <x:c r="M9" s="240" t="n">
        <x:f>L14</x:f>
        <x:v>0</x:v>
      </x:c>
      <x:c r="N9" s="240" t="n">
        <x:f>M14</x:f>
        <x:v>0</x:v>
      </x:c>
      <x:c r="O9" s="240" t="n">
        <x:f>N14</x:f>
        <x:v>0</x:v>
      </x:c>
      <x:c r="P9" s="240" t="n">
        <x:f>O14</x:f>
        <x:v>0</x:v>
      </x:c>
      <x:c r="Q9" s="240" t="n">
        <x:f>P14</x:f>
        <x:v>0</x:v>
      </x:c>
      <x:c r="R9" s="240" t="n">
        <x:f>Q14</x:f>
        <x:v>0</x:v>
      </x:c>
      <x:c r="S9" s="240" t="n">
        <x:f>R14</x:f>
        <x:v>0</x:v>
      </x:c>
    </x:row>
    <x:row r="10">
      <x:c r="A10" s="239" t="str">
        <x:v>Vlastní zdroje – termínovaný vklad</x:v>
      </x:c>
      <x:c r="B10" s="240" t="n">
        <x:v>20.5</x:v>
      </x:c>
      <x:c r="C10" s="240" t="n">
        <x:v>0</x:v>
      </x:c>
      <x:c r="D10" s="240" t="n">
        <x:v>0</x:v>
      </x:c>
      <x:c r="E10" s="240" t="n">
        <x:v>0</x:v>
      </x:c>
      <x:c r="F10" s="240" t="n">
        <x:v>0</x:v>
      </x:c>
      <x:c r="G10" s="240" t="n">
        <x:v>0</x:v>
      </x:c>
      <x:c r="H10" s="240" t="n">
        <x:v>0</x:v>
      </x:c>
      <x:c r="I10" s="240" t="n">
        <x:v>0</x:v>
      </x:c>
      <x:c r="J10" s="240" t="n">
        <x:v>0</x:v>
      </x:c>
      <x:c r="K10" s="240" t="n">
        <x:v>0</x:v>
      </x:c>
      <x:c r="L10" s="240" t="n">
        <x:v>0</x:v>
      </x:c>
      <x:c r="M10" s="240" t="n">
        <x:v>0</x:v>
      </x:c>
      <x:c r="N10" s="240" t="n">
        <x:v>0</x:v>
      </x:c>
      <x:c r="O10" s="240" t="n">
        <x:v>0</x:v>
      </x:c>
      <x:c r="P10" s="240" t="n">
        <x:v>0</x:v>
      </x:c>
      <x:c r="Q10" s="240" t="n">
        <x:v>0</x:v>
      </x:c>
      <x:c r="R10" s="240" t="n">
        <x:v>0</x:v>
      </x:c>
      <x:c r="S10" s="240" t="n">
        <x:v>0</x:v>
      </x:c>
    </x:row>
    <x:row r="11">
      <x:c r="A11" s="239" t="str">
        <x:v>Vlastní zdroje – rozpočet / investiční kapacita</x:v>
      </x:c>
      <x:c r="B11" s="240" t="n">
        <x:v>50</x:v>
      </x:c>
      <x:c r="C11" s="240" t="n">
        <x:v>6.9</x:v>
      </x:c>
      <x:c r="D11" s="240" t="n">
        <x:v>7.7</x:v>
      </x:c>
      <x:c r="E11" s="240" t="n">
        <x:v>0</x:v>
      </x:c>
      <x:c r="F11" s="240" t="n">
        <x:v>0</x:v>
      </x:c>
      <x:c r="G11" s="240" t="n">
        <x:v>0</x:v>
      </x:c>
      <x:c r="H11" s="240" t="n">
        <x:v>0</x:v>
      </x:c>
      <x:c r="I11" s="240" t="n">
        <x:v>0</x:v>
      </x:c>
      <x:c r="J11" s="240" t="n">
        <x:v>0</x:v>
      </x:c>
      <x:c r="K11" s="240" t="n">
        <x:v>0</x:v>
      </x:c>
      <x:c r="L11" s="240" t="n">
        <x:v>0</x:v>
      </x:c>
      <x:c r="M11" s="240" t="n">
        <x:v>0</x:v>
      </x:c>
      <x:c r="N11" s="240" t="n">
        <x:v>0</x:v>
      </x:c>
      <x:c r="O11" s="240" t="n">
        <x:v>0</x:v>
      </x:c>
      <x:c r="P11" s="240" t="n">
        <x:v>0</x:v>
      </x:c>
      <x:c r="Q11" s="240" t="n">
        <x:v>0</x:v>
      </x:c>
      <x:c r="R11" s="240" t="n">
        <x:v>0</x:v>
      </x:c>
      <x:c r="S11" s="240" t="n">
        <x:v>0</x:v>
      </x:c>
    </x:row>
    <x:row r="12">
      <x:c r="A12" s="239" t="str">
        <x:v>Dotace</x:v>
      </x:c>
      <x:c r="B12" s="240" t="n">
        <x:v>0</x:v>
      </x:c>
      <x:c r="C12" s="240" t="n">
        <x:v>0</x:v>
      </x:c>
      <x:c r="D12" s="240" t="n">
        <x:v>0</x:v>
      </x:c>
      <x:c r="E12" s="240" t="n">
        <x:v>0</x:v>
      </x:c>
      <x:c r="F12" s="240" t="n">
        <x:v>0</x:v>
      </x:c>
      <x:c r="G12" s="240" t="n">
        <x:v>0</x:v>
      </x:c>
      <x:c r="H12" s="240" t="n">
        <x:v>0</x:v>
      </x:c>
      <x:c r="I12" s="240" t="n">
        <x:v>0</x:v>
      </x:c>
      <x:c r="J12" s="240" t="n">
        <x:v>0</x:v>
      </x:c>
      <x:c r="K12" s="240" t="n">
        <x:v>0</x:v>
      </x:c>
      <x:c r="L12" s="240" t="n">
        <x:v>0</x:v>
      </x:c>
      <x:c r="M12" s="240" t="n">
        <x:v>0</x:v>
      </x:c>
      <x:c r="N12" s="240" t="n">
        <x:v>0</x:v>
      </x:c>
      <x:c r="O12" s="240" t="n">
        <x:v>0</x:v>
      </x:c>
      <x:c r="P12" s="240" t="n">
        <x:v>0</x:v>
      </x:c>
      <x:c r="Q12" s="240" t="n">
        <x:v>0</x:v>
      </x:c>
      <x:c r="R12" s="240" t="n">
        <x:v>0</x:v>
      </x:c>
      <x:c r="S12" s="240" t="n">
        <x:v>0</x:v>
      </x:c>
    </x:row>
    <x:row r="13">
      <x:c r="A13" s="239" t="str">
        <x:v>Čerpání úvěru</x:v>
      </x:c>
      <x:c r="B13" s="240" t="n">
        <x:f>MAX(0,B6-B9-B10-B11-B12)</x:f>
        <x:v>0</x:v>
      </x:c>
      <x:c r="C13" s="240" t="n">
        <x:f>MAX(0,C6-C9-C10-C11-C12)</x:f>
        <x:v>38.100000000000016</x:v>
      </x:c>
      <x:c r="D13" s="240" t="n">
        <x:f>MAX(0,D6-D9-D10-D11-D12)</x:f>
        <x:v>29.26000000000001</x:v>
      </x:c>
      <x:c r="E13" s="240" t="n">
        <x:v>0</x:v>
      </x:c>
      <x:c r="F13" s="240" t="n">
        <x:v>0</x:v>
      </x:c>
      <x:c r="G13" s="240" t="n">
        <x:v>0</x:v>
      </x:c>
      <x:c r="H13" s="240" t="n">
        <x:v>0</x:v>
      </x:c>
      <x:c r="I13" s="240" t="n">
        <x:v>0</x:v>
      </x:c>
      <x:c r="J13" s="240" t="n">
        <x:v>0</x:v>
      </x:c>
      <x:c r="K13" s="240" t="n">
        <x:v>0</x:v>
      </x:c>
      <x:c r="L13" s="240" t="n">
        <x:v>0</x:v>
      </x:c>
      <x:c r="M13" s="240" t="n">
        <x:v>0</x:v>
      </x:c>
      <x:c r="N13" s="240" t="n">
        <x:v>0</x:v>
      </x:c>
      <x:c r="O13" s="240" t="n">
        <x:v>0</x:v>
      </x:c>
      <x:c r="P13" s="240" t="n">
        <x:v>0</x:v>
      </x:c>
      <x:c r="Q13" s="240" t="n">
        <x:v>0</x:v>
      </x:c>
      <x:c r="R13" s="240" t="n">
        <x:v>0</x:v>
      </x:c>
      <x:c r="S13" s="240" t="n">
        <x:v>0</x:v>
      </x:c>
    </x:row>
    <x:row r="14">
      <x:c r="A14" s="239" t="str">
        <x:v>Projektová hotovost – konec roku</x:v>
      </x:c>
      <x:c r="B14" s="240" t="n">
        <x:f>MAX(0,B9+B10+B11+B12+B13-B6)</x:f>
        <x:v>17.999999999999993</x:v>
      </x:c>
      <x:c r="C14" s="240" t="n">
        <x:f>MAX(0,C9+C10+C11+C12+C13-C6)</x:f>
        <x:v>0</x:v>
      </x:c>
      <x:c r="D14" s="240" t="n">
        <x:f>MAX(0,D9+D10+D11+D12+D13-D6)</x:f>
        <x:v>0</x:v>
      </x:c>
      <x:c r="E14" s="240" t="n">
        <x:v>0</x:v>
      </x:c>
      <x:c r="F14" s="240" t="n">
        <x:v>0</x:v>
      </x:c>
      <x:c r="G14" s="240" t="n">
        <x:v>0</x:v>
      </x:c>
      <x:c r="H14" s="240" t="n">
        <x:v>0</x:v>
      </x:c>
      <x:c r="I14" s="240" t="n">
        <x:v>0</x:v>
      </x:c>
      <x:c r="J14" s="240" t="n">
        <x:v>0</x:v>
      </x:c>
      <x:c r="K14" s="240" t="n">
        <x:v>0</x:v>
      </x:c>
      <x:c r="L14" s="240" t="n">
        <x:v>0</x:v>
      </x:c>
      <x:c r="M14" s="240" t="n">
        <x:v>0</x:v>
      </x:c>
      <x:c r="N14" s="240" t="n">
        <x:v>0</x:v>
      </x:c>
      <x:c r="O14" s="240" t="n">
        <x:v>0</x:v>
      </x:c>
      <x:c r="P14" s="240" t="n">
        <x:v>0</x:v>
      </x:c>
      <x:c r="Q14" s="240" t="n">
        <x:v>0</x:v>
      </x:c>
      <x:c r="R14" s="240" t="n">
        <x:v>0</x:v>
      </x:c>
      <x:c r="S14" s="240" t="n">
        <x:v>0</x:v>
      </x:c>
    </x:row>
    <x:row r="15">
      <x:c r="A15" s="239"/>
      <x:c r="B15" s="240"/>
      <x:c r="C15" s="240"/>
      <x:c r="D15" s="240"/>
      <x:c r="E15" s="240"/>
      <x:c r="F15" s="240"/>
      <x:c r="G15" s="240"/>
      <x:c r="H15" s="240"/>
      <x:c r="I15" s="240"/>
      <x:c r="J15" s="240"/>
      <x:c r="K15" s="240"/>
      <x:c r="L15" s="240"/>
      <x:c r="M15" s="240"/>
      <x:c r="N15" s="240"/>
      <x:c r="O15" s="240"/>
      <x:c r="P15" s="240"/>
      <x:c r="Q15" s="240"/>
      <x:c r="R15" s="240"/>
      <x:c r="S15" s="240"/>
    </x:row>
    <x:row r="16">
      <x:c r="A16" s="125" t="str">
        <x:v>2. ÚVĚR A DLUHOVÁ SLUŽBA</x:v>
      </x:c>
      <x:c r="B16" s="127"/>
      <x:c r="C16" s="127"/>
      <x:c r="D16" s="127"/>
      <x:c r="E16" s="127"/>
      <x:c r="F16" s="127"/>
      <x:c r="G16" s="127"/>
      <x:c r="H16" s="127"/>
      <x:c r="I16" s="127"/>
      <x:c r="J16" s="127"/>
      <x:c r="K16" s="127"/>
      <x:c r="L16" s="127"/>
      <x:c r="M16" s="127"/>
      <x:c r="N16" s="127"/>
      <x:c r="O16" s="127"/>
      <x:c r="P16" s="127"/>
      <x:c r="Q16" s="127"/>
      <x:c r="R16" s="127"/>
      <x:c r="S16" s="127"/>
    </x:row>
    <x:row r="17">
      <x:c r="A17" s="239" t="str">
        <x:v>Počáteční zůstatek úvěru</x:v>
      </x:c>
      <x:c r="B17" s="240" t="n">
        <x:v>0</x:v>
      </x:c>
      <x:c r="C17" s="240" t="n">
        <x:v>0</x:v>
      </x:c>
      <x:c r="D17" s="240" t="n">
        <x:v>0</x:v>
      </x:c>
      <x:c r="E17" s="240" t="n">
        <x:f>'Předpoklady'!F9</x:f>
        <x:v>67.36000000000001</x:v>
      </x:c>
      <x:c r="F17" s="240" t="n">
        <x:f>E21</x:f>
        <x:v>64.67943408014021</x:v>
      </x:c>
      <x:c r="G17" s="240" t="n">
        <x:f>F21</x:f>
        <x:v>61.81122854589022</x:v>
      </x:c>
      <x:c r="H17" s="240" t="n">
        <x:f>G21</x:f>
        <x:v>58.74224862424274</x:v>
      </x:c>
      <x:c r="I17" s="240" t="n">
        <x:f>H21</x:f>
        <x:v>55.458440108079934</x:v>
      </x:c>
      <x:c r="J17" s="240" t="n">
        <x:f>I21</x:f>
        <x:v>51.94476499578573</x:v>
      </x:c>
      <x:c r="K17" s="240" t="n">
        <x:f>J21</x:f>
        <x:v>48.185132625630935</x:v>
      </x:c>
      <x:c r="L17" s="240" t="n">
        <x:f>K21</x:f>
        <x:v>44.1623259895653</x:v>
      </x:c>
      <x:c r="M17" s="240" t="n">
        <x:f>L21</x:f>
        <x:v>39.857922888975075</x:v>
      </x:c>
      <x:c r="N17" s="240" t="n">
        <x:f>M21</x:f>
        <x:v>35.25221157134353</x:v>
      </x:c>
      <x:c r="O17" s="240" t="n">
        <x:f>N21</x:f>
        <x:v>30.324100461477776</x:v>
      </x:c>
      <x:c r="P17" s="240" t="n">
        <x:f>O21</x:f>
        <x:v>25.05102157392142</x:v>
      </x:c>
      <x:c r="Q17" s="240" t="n">
        <x:f>P21</x:f>
        <x:v>19.408827164236122</x:v>
      </x:c>
      <x:c r="R17" s="240" t="n">
        <x:f>Q21</x:f>
        <x:v>13.37167914587285</x:v>
      </x:c>
      <x:c r="S17" s="240" t="n">
        <x:f>R21</x:f>
        <x:v>6.911930766224149</x:v>
      </x:c>
    </x:row>
    <x:row r="18">
      <x:c r="A18" s="239" t="str">
        <x:v>Úrok v roce</x:v>
      </x:c>
      <x:c r="B18" s="240" t="n">
        <x:v>0</x:v>
      </x:c>
      <x:c r="C18" s="240" t="n">
        <x:v>0</x:v>
      </x:c>
      <x:c r="D18" s="240" t="n">
        <x:v>0</x:v>
      </x:c>
      <x:c r="E18" s="240" t="n">
        <x:f>E17*'Předpoklady'!F11</x:f>
        <x:v>4.715200000000001</x:v>
      </x:c>
      <x:c r="F18" s="240" t="n">
        <x:f>F17*'Předpoklady'!F11</x:f>
        <x:v>4.527560385609815</x:v>
      </x:c>
      <x:c r="G18" s="240" t="n">
        <x:f>G17*'Předpoklady'!F11</x:f>
        <x:v>4.3267859982123165</x:v>
      </x:c>
      <x:c r="H18" s="240" t="n">
        <x:f>H17*'Předpoklady'!F11</x:f>
        <x:v>4.111957403696993</x:v>
      </x:c>
      <x:c r="I18" s="240" t="n">
        <x:f>I17*'Předpoklady'!F11</x:f>
        <x:v>3.8820908075655955</x:v>
      </x:c>
      <x:c r="J18" s="240" t="n">
        <x:f>J17*'Předpoklady'!F11</x:f>
        <x:v>3.6361335497050016</x:v>
      </x:c>
      <x:c r="K18" s="240" t="n">
        <x:f>K17*'Předpoklady'!F11</x:f>
        <x:v>3.3729592837941658</x:v>
      </x:c>
      <x:c r="L18" s="240" t="n">
        <x:f>L17*'Předpoklady'!F11</x:f>
        <x:v>3.0913628192695715</x:v>
      </x:c>
      <x:c r="M18" s="240" t="n">
        <x:f>M17*'Předpoklady'!F11</x:f>
        <x:v>2.7900546022282557</x:v>
      </x:c>
      <x:c r="N18" s="240" t="n">
        <x:f>N17*'Předpoklady'!F11</x:f>
        <x:v>2.4676548099940474</x:v>
      </x:c>
      <x:c r="O18" s="240" t="n">
        <x:f>O17*'Předpoklady'!F11</x:f>
        <x:v>2.1226870323034444</x:v>
      </x:c>
      <x:c r="P18" s="240" t="n">
        <x:f>P17*'Předpoklady'!F11</x:f>
        <x:v>1.7535715101744997</x:v>
      </x:c>
      <x:c r="Q18" s="240" t="n">
        <x:f>Q17*'Předpoklady'!F11</x:f>
        <x:v>1.3586179014965287</x:v>
      </x:c>
      <x:c r="R18" s="240" t="n">
        <x:f>R17*'Předpoklady'!F11</x:f>
        <x:v>0.9360175402110996</x:v>
      </x:c>
      <x:c r="S18" s="240" t="n">
        <x:f>S17*'Předpoklady'!F11</x:f>
        <x:v>0.48383515363569046</x:v>
      </x:c>
    </x:row>
    <x:row r="19">
      <x:c r="A19" s="239" t="str">
        <x:v>Celková roční splátka</x:v>
      </x:c>
      <x:c r="B19" s="240" t="n">
        <x:v>0</x:v>
      </x:c>
      <x:c r="C19" s="240" t="n">
        <x:v>0</x:v>
      </x:c>
      <x:c r="D19" s="240" t="n">
        <x:v>0</x:v>
      </x:c>
      <x:c r="E19" s="240" t="n">
        <x:f>-PMT('Předpoklady'!F11,'Předpoklady'!F10,'Předpoklady'!F9)</x:f>
        <x:v>7.395765919859801</x:v>
      </x:c>
      <x:c r="F19" s="240" t="n">
        <x:f>-PMT('Předpoklady'!F11,'Předpoklady'!F10,'Předpoklady'!F9)</x:f>
        <x:v>7.395765919859801</x:v>
      </x:c>
      <x:c r="G19" s="240" t="n">
        <x:f>-PMT('Předpoklady'!F11,'Předpoklady'!F10,'Předpoklady'!F9)</x:f>
        <x:v>7.395765919859801</x:v>
      </x:c>
      <x:c r="H19" s="240" t="n">
        <x:f>-PMT('Předpoklady'!F11,'Předpoklady'!F10,'Předpoklady'!F9)</x:f>
        <x:v>7.395765919859801</x:v>
      </x:c>
      <x:c r="I19" s="240" t="n">
        <x:f>-PMT('Předpoklady'!F11,'Předpoklady'!F10,'Předpoklady'!F9)</x:f>
        <x:v>7.395765919859801</x:v>
      </x:c>
      <x:c r="J19" s="240" t="n">
        <x:f>-PMT('Předpoklady'!F11,'Předpoklady'!F10,'Předpoklady'!F9)</x:f>
        <x:v>7.395765919859801</x:v>
      </x:c>
      <x:c r="K19" s="240" t="n">
        <x:f>-PMT('Předpoklady'!F11,'Předpoklady'!F10,'Předpoklady'!F9)</x:f>
        <x:v>7.395765919859801</x:v>
      </x:c>
      <x:c r="L19" s="240" t="n">
        <x:f>-PMT('Předpoklady'!F11,'Předpoklady'!F10,'Předpoklady'!F9)</x:f>
        <x:v>7.395765919859801</x:v>
      </x:c>
      <x:c r="M19" s="240" t="n">
        <x:f>-PMT('Předpoklady'!F11,'Předpoklady'!F10,'Předpoklady'!F9)</x:f>
        <x:v>7.395765919859801</x:v>
      </x:c>
      <x:c r="N19" s="240" t="n">
        <x:f>-PMT('Předpoklady'!F11,'Předpoklady'!F10,'Předpoklady'!F9)</x:f>
        <x:v>7.395765919859801</x:v>
      </x:c>
      <x:c r="O19" s="240" t="n">
        <x:f>-PMT('Předpoklady'!F11,'Předpoklady'!F10,'Předpoklady'!F9)</x:f>
        <x:v>7.395765919859801</x:v>
      </x:c>
      <x:c r="P19" s="240" t="n">
        <x:f>-PMT('Předpoklady'!F11,'Předpoklady'!F10,'Předpoklady'!F9)</x:f>
        <x:v>7.395765919859801</x:v>
      </x:c>
      <x:c r="Q19" s="240" t="n">
        <x:f>-PMT('Předpoklady'!F11,'Předpoklady'!F10,'Předpoklady'!F9)</x:f>
        <x:v>7.395765919859801</x:v>
      </x:c>
      <x:c r="R19" s="240" t="n">
        <x:f>-PMT('Předpoklady'!F11,'Předpoklady'!F10,'Předpoklady'!F9)</x:f>
        <x:v>7.395765919859801</x:v>
      </x:c>
      <x:c r="S19" s="240" t="n">
        <x:f>-PMT('Předpoklady'!F11,'Předpoklady'!F10,'Předpoklady'!F9)</x:f>
        <x:v>7.395765919859801</x:v>
      </x:c>
    </x:row>
    <x:row r="20">
      <x:c r="A20" s="239" t="str">
        <x:v>z toho jistina</x:v>
      </x:c>
      <x:c r="B20" s="240" t="n">
        <x:v>0</x:v>
      </x:c>
      <x:c r="C20" s="240" t="n">
        <x:v>0</x:v>
      </x:c>
      <x:c r="D20" s="240" t="n">
        <x:v>0</x:v>
      </x:c>
      <x:c r="E20" s="240" t="n">
        <x:f>E19-E18</x:f>
        <x:v>2.6805659198597995</x:v>
      </x:c>
      <x:c r="F20" s="240" t="n">
        <x:f>F19-F18</x:f>
        <x:v>2.8682055342499853</x:v>
      </x:c>
      <x:c r="G20" s="240" t="n">
        <x:f>G19-G18</x:f>
        <x:v>3.0689799216474842</x:v>
      </x:c>
      <x:c r="H20" s="240" t="n">
        <x:f>H19-H18</x:f>
        <x:v>3.283808516162808</x:v>
      </x:c>
      <x:c r="I20" s="240" t="n">
        <x:f>I19-I18</x:f>
        <x:v>3.513675112294205</x:v>
      </x:c>
      <x:c r="J20" s="240" t="n">
        <x:f>J19-J18</x:f>
        <x:v>3.759632370154799</x:v>
      </x:c>
      <x:c r="K20" s="240" t="n">
        <x:f>K19-K18</x:f>
        <x:v>4.022806636065635</x:v>
      </x:c>
      <x:c r="L20" s="240" t="n">
        <x:f>L19-L18</x:f>
        <x:v>4.304403100590229</x:v>
      </x:c>
      <x:c r="M20" s="240" t="n">
        <x:f>M19-M18</x:f>
        <x:v>4.605711317631545</x:v>
      </x:c>
      <x:c r="N20" s="240" t="n">
        <x:f>N19-N18</x:f>
        <x:v>4.928111109865753</x:v>
      </x:c>
      <x:c r="O20" s="240" t="n">
        <x:f>O19-O18</x:f>
        <x:v>5.273078887556356</x:v>
      </x:c>
      <x:c r="P20" s="240" t="n">
        <x:f>P19-P18</x:f>
        <x:v>5.642194409685301</x:v>
      </x:c>
      <x:c r="Q20" s="240" t="n">
        <x:f>Q19-Q18</x:f>
        <x:v>6.037148018363272</x:v>
      </x:c>
      <x:c r="R20" s="240" t="n">
        <x:f>R19-R18</x:f>
        <x:v>6.459748379648701</x:v>
      </x:c>
      <x:c r="S20" s="240" t="n">
        <x:f>S19-S18</x:f>
        <x:v>6.91193076622411</x:v>
      </x:c>
    </x:row>
    <x:row r="21">
      <x:c r="A21" s="239" t="str">
        <x:v>Konečný zůstatek úvěru</x:v>
      </x:c>
      <x:c r="B21" s="240" t="n">
        <x:v>0</x:v>
      </x:c>
      <x:c r="C21" s="240" t="n">
        <x:v>0</x:v>
      </x:c>
      <x:c r="D21" s="240" t="n">
        <x:v>0</x:v>
      </x:c>
      <x:c r="E21" s="240" t="n">
        <x:f>MAX(0,E17-E20)</x:f>
        <x:v>64.67943408014021</x:v>
      </x:c>
      <x:c r="F21" s="240" t="n">
        <x:f>MAX(0,F17-F20)</x:f>
        <x:v>61.81122854589022</x:v>
      </x:c>
      <x:c r="G21" s="240" t="n">
        <x:f>MAX(0,G17-G20)</x:f>
        <x:v>58.74224862424274</x:v>
      </x:c>
      <x:c r="H21" s="240" t="n">
        <x:f>MAX(0,H17-H20)</x:f>
        <x:v>55.458440108079934</x:v>
      </x:c>
      <x:c r="I21" s="240" t="n">
        <x:f>MAX(0,I17-I20)</x:f>
        <x:v>51.94476499578573</x:v>
      </x:c>
      <x:c r="J21" s="240" t="n">
        <x:f>MAX(0,J17-J20)</x:f>
        <x:v>48.185132625630935</x:v>
      </x:c>
      <x:c r="K21" s="240" t="n">
        <x:f>MAX(0,K17-K20)</x:f>
        <x:v>44.1623259895653</x:v>
      </x:c>
      <x:c r="L21" s="240" t="n">
        <x:f>MAX(0,L17-L20)</x:f>
        <x:v>39.857922888975075</x:v>
      </x:c>
      <x:c r="M21" s="240" t="n">
        <x:f>MAX(0,M17-M20)</x:f>
        <x:v>35.25221157134353</x:v>
      </x:c>
      <x:c r="N21" s="240" t="n">
        <x:f>MAX(0,N17-N20)</x:f>
        <x:v>30.324100461477776</x:v>
      </x:c>
      <x:c r="O21" s="240" t="n">
        <x:f>MAX(0,O17-O20)</x:f>
        <x:v>25.05102157392142</x:v>
      </x:c>
      <x:c r="P21" s="240" t="n">
        <x:f>MAX(0,P17-P20)</x:f>
        <x:v>19.408827164236122</x:v>
      </x:c>
      <x:c r="Q21" s="240" t="n">
        <x:f>MAX(0,Q17-Q20)</x:f>
        <x:v>13.37167914587285</x:v>
      </x:c>
      <x:c r="R21" s="240" t="n">
        <x:f>MAX(0,R17-R20)</x:f>
        <x:v>6.911930766224149</x:v>
      </x:c>
      <x:c r="S21" s="240" t="n">
        <x:f>MAX(0,S17-S20)</x:f>
        <x:v>3.907985046680551e-14</x:v>
      </x:c>
    </x:row>
    <x:row r="22">
      <x:c r="A22" s="239"/>
      <x:c r="B22" s="240"/>
      <x:c r="C22" s="240"/>
      <x:c r="D22" s="240"/>
      <x:c r="E22" s="240"/>
      <x:c r="F22" s="240"/>
      <x:c r="G22" s="240"/>
      <x:c r="H22" s="240"/>
      <x:c r="I22" s="240"/>
      <x:c r="J22" s="240"/>
      <x:c r="K22" s="240"/>
      <x:c r="L22" s="240"/>
      <x:c r="M22" s="240"/>
      <x:c r="N22" s="240"/>
      <x:c r="O22" s="240"/>
      <x:c r="P22" s="240"/>
      <x:c r="Q22" s="240"/>
      <x:c r="R22" s="240"/>
      <x:c r="S22" s="240"/>
    </x:row>
    <x:row r="23">
      <x:c r="A23" s="125" t="str">
        <x:v>3. PROVOZ ŠKOLY A MOŽNÉ KOMPENZACE</x:v>
      </x:c>
      <x:c r="B23" s="127"/>
      <x:c r="C23" s="127"/>
      <x:c r="D23" s="127"/>
      <x:c r="E23" s="127"/>
      <x:c r="F23" s="127"/>
      <x:c r="G23" s="127"/>
      <x:c r="H23" s="127"/>
      <x:c r="I23" s="127"/>
      <x:c r="J23" s="127"/>
      <x:c r="K23" s="127"/>
      <x:c r="L23" s="127"/>
      <x:c r="M23" s="127"/>
      <x:c r="N23" s="127"/>
      <x:c r="O23" s="127"/>
      <x:c r="P23" s="127"/>
      <x:c r="Q23" s="127"/>
      <x:c r="R23" s="127"/>
      <x:c r="S23" s="127"/>
    </x:row>
    <x:row r="24">
      <x:c r="A24" s="239" t="str">
        <x:v>Modelový počet žáků 2. stupně</x:v>
      </x:c>
      <x:c r="B24" s="243" t="n">
        <x:v>0</x:v>
      </x:c>
      <x:c r="C24" s="243" t="n">
        <x:v>0</x:v>
      </x:c>
      <x:c r="D24" s="243" t="n">
        <x:v>0</x:v>
      </x:c>
      <x:c r="E24" s="243" t="n">
        <x:f>'Demografie a RUD'!N7</x:f>
        <x:v>25.0125</x:v>
      </x:c>
      <x:c r="F24" s="243" t="n">
        <x:f>'Demografie a RUD'!N8</x:f>
        <x:v>51.74999999999999</x:v>
      </x:c>
      <x:c r="G24" s="243" t="n">
        <x:f>'Demografie a RUD'!N9</x:f>
        <x:v>76.07249999999999</x:v>
      </x:c>
      <x:c r="H24" s="243" t="n">
        <x:f>'Demografie a RUD'!N10</x:f>
        <x:v>99.35999999999999</x:v>
      </x:c>
      <x:c r="I24" s="243" t="n">
        <x:f>'Demografie a RUD'!N11</x:f>
        <x:v>97.28999999999999</x:v>
      </x:c>
      <x:c r="J24" s="243" t="n">
        <x:f>'Demografie a RUD'!N12</x:f>
        <x:v>95.22</x:v>
      </x:c>
      <x:c r="K24" s="243" t="n">
        <x:f>'Demografie a RUD'!N13</x:f>
        <x:v>93.14999999999999</x:v>
      </x:c>
      <x:c r="L24" s="243" t="n">
        <x:f>'Demografie a RUD'!N14</x:f>
        <x:v>91.08</x:v>
      </x:c>
      <x:c r="M24" s="243" t="n">
        <x:f>'Demografie a RUD'!N15</x:f>
        <x:v>89.00999999999999</x:v>
      </x:c>
      <x:c r="N24" s="243" t="n">
        <x:f>'Demografie a RUD'!N16</x:f>
        <x:v>86.94</x:v>
      </x:c>
      <x:c r="O24" s="243" t="n">
        <x:f>'Demografie a RUD'!N17</x:f>
        <x:v>84.86999999999999</x:v>
      </x:c>
      <x:c r="P24" s="243" t="n">
        <x:f>'Demografie a RUD'!N18</x:f>
        <x:v>82.8</x:v>
      </x:c>
      <x:c r="Q24" s="243" t="n">
        <x:f>'Demografie a RUD'!N19</x:f>
        <x:v>82.8</x:v>
      </x:c>
      <x:c r="R24" s="243" t="n">
        <x:f>'Demografie a RUD'!N20</x:f>
        <x:v>82.8</x:v>
      </x:c>
      <x:c r="S24" s="243" t="n">
        <x:f>'Demografie a RUD'!N21</x:f>
        <x:v>82.8</x:v>
      </x:c>
    </x:row>
    <x:row r="25">
      <x:c r="A25" s="239" t="str">
        <x:v>Nepedagogičtí pracovníci</x:v>
      </x:c>
      <x:c r="B25" s="240" t="n">
        <x:v>0</x:v>
      </x:c>
      <x:c r="C25" s="240" t="n">
        <x:v>0</x:v>
      </x:c>
      <x:c r="D25" s="240" t="n">
        <x:v>0</x:v>
      </x:c>
      <x:c r="E25" s="240" t="n">
        <x:f>'Předpoklady'!F13*(1+'Předpoklady'!F18)^0</x:f>
        <x:v>1.2</x:v>
      </x:c>
      <x:c r="F25" s="240" t="n">
        <x:f>'Předpoklady'!F13*(1+'Předpoklady'!F18)^1</x:f>
        <x:v>1.248</x:v>
      </x:c>
      <x:c r="G25" s="240" t="n">
        <x:f>'Předpoklady'!F13*(1+'Předpoklady'!F18)^2</x:f>
        <x:v>1.2979200000000002</x:v>
      </x:c>
      <x:c r="H25" s="240" t="n">
        <x:f>'Předpoklady'!F13*(1+'Předpoklady'!F18)^3</x:f>
        <x:v>1.3498368</x:v>
      </x:c>
      <x:c r="I25" s="240" t="n">
        <x:f>'Předpoklady'!F13*(1+'Předpoklady'!F18)^4</x:f>
        <x:v>1.4038302720000002</x:v>
      </x:c>
      <x:c r="J25" s="240" t="n">
        <x:f>'Předpoklady'!F13*(1+'Předpoklady'!F18)^5</x:f>
        <x:v>1.4599834828800005</x:v>
      </x:c>
      <x:c r="K25" s="240" t="n">
        <x:f>'Předpoklady'!F13*(1+'Předpoklady'!F18)^6</x:f>
        <x:v>1.5183828221952005</x:v>
      </x:c>
      <x:c r="L25" s="240" t="n">
        <x:f>'Předpoklady'!F13*(1+'Předpoklady'!F18)^7</x:f>
        <x:v>1.5791181350830084</x:v>
      </x:c>
      <x:c r="M25" s="240" t="n">
        <x:f>'Předpoklady'!F13*(1+'Předpoklady'!F18)^8</x:f>
        <x:v>1.6422828604863289</x:v>
      </x:c>
      <x:c r="N25" s="240" t="n">
        <x:f>'Předpoklady'!F13*(1+'Předpoklady'!F18)^9</x:f>
        <x:v>1.7079741749057822</x:v>
      </x:c>
      <x:c r="O25" s="240" t="n">
        <x:f>'Předpoklady'!F13*(1+'Předpoklady'!F18)^10</x:f>
        <x:v>1.7762931419020134</x:v>
      </x:c>
      <x:c r="P25" s="240" t="n">
        <x:f>'Předpoklady'!F13*(1+'Předpoklady'!F18)^11</x:f>
        <x:v>1.847344867578094</x:v>
      </x:c>
      <x:c r="Q25" s="240" t="n">
        <x:f>'Předpoklady'!F13*(1+'Předpoklady'!F18)^12</x:f>
        <x:v>1.921238662281218</x:v>
      </x:c>
      <x:c r="R25" s="240" t="n">
        <x:f>'Předpoklady'!F13*(1+'Předpoklady'!F18)^13</x:f>
        <x:v>1.9980882087724667</x:v>
      </x:c>
      <x:c r="S25" s="240" t="n">
        <x:f>'Předpoklady'!F13*(1+'Předpoklady'!F18)^14</x:f>
        <x:v>2.0780117371233655</x:v>
      </x:c>
    </x:row>
    <x:row r="26">
      <x:c r="A26" s="239" t="str">
        <x:v>Energie a média</x:v>
      </x:c>
      <x:c r="B26" s="240" t="n">
        <x:v>0</x:v>
      </x:c>
      <x:c r="C26" s="240" t="n">
        <x:v>0</x:v>
      </x:c>
      <x:c r="D26" s="240" t="n">
        <x:v>0</x:v>
      </x:c>
      <x:c r="E26" s="240" t="n">
        <x:f>'Předpoklady'!F14*(1+'Předpoklady'!F18)^0</x:f>
        <x:v>2</x:v>
      </x:c>
      <x:c r="F26" s="240" t="n">
        <x:f>'Předpoklady'!F14*(1+'Předpoklady'!F18)^1</x:f>
        <x:v>2.08</x:v>
      </x:c>
      <x:c r="G26" s="240" t="n">
        <x:f>'Předpoklady'!F14*(1+'Předpoklady'!F18)^2</x:f>
        <x:v>2.1632000000000002</x:v>
      </x:c>
      <x:c r="H26" s="240" t="n">
        <x:f>'Předpoklady'!F14*(1+'Předpoklady'!F18)^3</x:f>
        <x:v>2.249728</x:v>
      </x:c>
      <x:c r="I26" s="240" t="n">
        <x:f>'Předpoklady'!F14*(1+'Předpoklady'!F18)^4</x:f>
        <x:v>2.3397171200000004</x:v>
      </x:c>
      <x:c r="J26" s="240" t="n">
        <x:f>'Předpoklady'!F14*(1+'Předpoklady'!F18)^5</x:f>
        <x:v>2.4333058048000007</x:v>
      </x:c>
      <x:c r="K26" s="240" t="n">
        <x:f>'Předpoklady'!F14*(1+'Předpoklady'!F18)^6</x:f>
        <x:v>2.5306380369920007</x:v>
      </x:c>
      <x:c r="L26" s="240" t="n">
        <x:f>'Předpoklady'!F14*(1+'Předpoklady'!F18)^7</x:f>
        <x:v>2.6318635584716805</x:v>
      </x:c>
      <x:c r="M26" s="240" t="n">
        <x:f>'Předpoklady'!F14*(1+'Předpoklady'!F18)^8</x:f>
        <x:v>2.737138100810548</x:v>
      </x:c>
      <x:c r="N26" s="240" t="n">
        <x:f>'Předpoklady'!F14*(1+'Předpoklady'!F18)^9</x:f>
        <x:v>2.8466236248429704</x:v>
      </x:c>
      <x:c r="O26" s="240" t="n">
        <x:f>'Předpoklady'!F14*(1+'Předpoklady'!F18)^10</x:f>
        <x:v>2.960488569836689</x:v>
      </x:c>
      <x:c r="P26" s="240" t="n">
        <x:f>'Předpoklady'!F14*(1+'Předpoklady'!F18)^11</x:f>
        <x:v>3.0789081126301565</x:v>
      </x:c>
      <x:c r="Q26" s="240" t="n">
        <x:f>'Předpoklady'!F14*(1+'Předpoklady'!F18)^12</x:f>
        <x:v>3.2020644371353635</x:v>
      </x:c>
      <x:c r="R26" s="240" t="n">
        <x:f>'Předpoklady'!F14*(1+'Předpoklady'!F18)^13</x:f>
        <x:v>3.330147014620778</x:v>
      </x:c>
      <x:c r="S26" s="240" t="n">
        <x:f>'Předpoklady'!F14*(1+'Předpoklady'!F18)^14</x:f>
        <x:v>3.463352895205609</x:v>
      </x:c>
    </x:row>
    <x:row r="27">
      <x:c r="A27" s="239" t="str">
        <x:v>Servis technologií a revize</x:v>
      </x:c>
      <x:c r="B27" s="240" t="n">
        <x:v>0</x:v>
      </x:c>
      <x:c r="C27" s="240" t="n">
        <x:v>0</x:v>
      </x:c>
      <x:c r="D27" s="240" t="n">
        <x:v>0</x:v>
      </x:c>
      <x:c r="E27" s="240" t="n">
        <x:f>'Předpoklady'!F15*(1+'Předpoklady'!F18)^0</x:f>
        <x:v>1.1</x:v>
      </x:c>
      <x:c r="F27" s="240" t="n">
        <x:f>'Předpoklady'!F15*(1+'Předpoklady'!F18)^1</x:f>
        <x:v>1.1440000000000001</x:v>
      </x:c>
      <x:c r="G27" s="240" t="n">
        <x:f>'Předpoklady'!F15*(1+'Předpoklady'!F18)^2</x:f>
        <x:v>1.1897600000000002</x:v>
      </x:c>
      <x:c r="H27" s="240" t="n">
        <x:f>'Předpoklady'!F15*(1+'Předpoklady'!F18)^3</x:f>
        <x:v>1.2373504000000002</x:v>
      </x:c>
      <x:c r="I27" s="240" t="n">
        <x:f>'Předpoklady'!F15*(1+'Předpoklady'!F18)^4</x:f>
        <x:v>1.2868444160000003</x:v>
      </x:c>
      <x:c r="J27" s="240" t="n">
        <x:f>'Předpoklady'!F15*(1+'Předpoklady'!F18)^5</x:f>
        <x:v>1.3383181926400005</x:v>
      </x:c>
      <x:c r="K27" s="240" t="n">
        <x:f>'Předpoklady'!F15*(1+'Předpoklady'!F18)^6</x:f>
        <x:v>1.3918509203456004</x:v>
      </x:c>
      <x:c r="L27" s="240" t="n">
        <x:f>'Předpoklady'!F15*(1+'Předpoklady'!F18)^7</x:f>
        <x:v>1.4475249571594244</x:v>
      </x:c>
      <x:c r="M27" s="240" t="n">
        <x:f>'Předpoklady'!F15*(1+'Předpoklady'!F18)^8</x:f>
        <x:v>1.5054259554458016</x:v>
      </x:c>
      <x:c r="N27" s="240" t="n">
        <x:f>'Předpoklady'!F15*(1+'Předpoklady'!F18)^9</x:f>
        <x:v>1.5656429936636338</x:v>
      </x:c>
      <x:c r="O27" s="240" t="n">
        <x:f>'Předpoklady'!F15*(1+'Předpoklady'!F18)^10</x:f>
        <x:v>1.6282687134101792</x:v>
      </x:c>
      <x:c r="P27" s="240" t="n">
        <x:f>'Předpoklady'!F15*(1+'Předpoklady'!F18)^11</x:f>
        <x:v>1.6933994619465862</x:v>
      </x:c>
      <x:c r="Q27" s="240" t="n">
        <x:f>'Předpoklady'!F15*(1+'Předpoklady'!F18)^12</x:f>
        <x:v>1.7611354404244501</x:v>
      </x:c>
      <x:c r="R27" s="240" t="n">
        <x:f>'Předpoklady'!F15*(1+'Předpoklady'!F18)^13</x:f>
        <x:v>1.8315808580414281</x:v>
      </x:c>
      <x:c r="S27" s="240" t="n">
        <x:f>'Předpoklady'!F15*(1+'Předpoklady'!F18)^14</x:f>
        <x:v>1.9048440923630852</x:v>
      </x:c>
    </x:row>
    <x:row r="28">
      <x:c r="A28" s="239" t="str">
        <x:v>Ostatní provoz</x:v>
      </x:c>
      <x:c r="B28" s="240" t="n">
        <x:v>0</x:v>
      </x:c>
      <x:c r="C28" s="240" t="n">
        <x:v>0</x:v>
      </x:c>
      <x:c r="D28" s="240" t="n">
        <x:v>0</x:v>
      </x:c>
      <x:c r="E28" s="240" t="n">
        <x:f>'Předpoklady'!F16*(1+'Předpoklady'!F18)^0</x:f>
        <x:v>1</x:v>
      </x:c>
      <x:c r="F28" s="240" t="n">
        <x:f>'Předpoklady'!F16*(1+'Předpoklady'!F18)^1</x:f>
        <x:v>1.04</x:v>
      </x:c>
      <x:c r="G28" s="240" t="n">
        <x:f>'Předpoklady'!F16*(1+'Předpoklady'!F18)^2</x:f>
        <x:v>1.0816000000000001</x:v>
      </x:c>
      <x:c r="H28" s="240" t="n">
        <x:f>'Předpoklady'!F16*(1+'Předpoklady'!F18)^3</x:f>
        <x:v>1.124864</x:v>
      </x:c>
      <x:c r="I28" s="240" t="n">
        <x:f>'Předpoklady'!F16*(1+'Předpoklady'!F18)^4</x:f>
        <x:v>1.1698585600000002</x:v>
      </x:c>
      <x:c r="J28" s="240" t="n">
        <x:f>'Předpoklady'!F16*(1+'Předpoklady'!F18)^5</x:f>
        <x:v>1.2166529024000003</x:v>
      </x:c>
      <x:c r="K28" s="240" t="n">
        <x:f>'Předpoklady'!F16*(1+'Předpoklady'!F18)^6</x:f>
        <x:v>1.2653190184960004</x:v>
      </x:c>
      <x:c r="L28" s="240" t="n">
        <x:f>'Předpoklady'!F16*(1+'Předpoklady'!F18)^7</x:f>
        <x:v>1.3159317792358403</x:v>
      </x:c>
      <x:c r="M28" s="240" t="n">
        <x:f>'Předpoklady'!F16*(1+'Předpoklady'!F18)^8</x:f>
        <x:v>1.368569050405274</x:v>
      </x:c>
      <x:c r="N28" s="240" t="n">
        <x:f>'Předpoklady'!F16*(1+'Předpoklady'!F18)^9</x:f>
        <x:v>1.4233118124214852</x:v>
      </x:c>
      <x:c r="O28" s="240" t="n">
        <x:f>'Předpoklady'!F16*(1+'Předpoklady'!F18)^10</x:f>
        <x:v>1.4802442849183446</x:v>
      </x:c>
      <x:c r="P28" s="240" t="n">
        <x:f>'Předpoklady'!F16*(1+'Předpoklady'!F18)^11</x:f>
        <x:v>1.5394540563150783</x:v>
      </x:c>
      <x:c r="Q28" s="240" t="n">
        <x:f>'Předpoklady'!F16*(1+'Předpoklady'!F18)^12</x:f>
        <x:v>1.6010322185676817</x:v>
      </x:c>
      <x:c r="R28" s="240" t="n">
        <x:f>'Předpoklady'!F16*(1+'Předpoklady'!F18)^13</x:f>
        <x:v>1.665073507310389</x:v>
      </x:c>
      <x:c r="S28" s="240" t="n">
        <x:f>'Předpoklady'!F16*(1+'Předpoklady'!F18)^14</x:f>
        <x:v>1.7316764476028046</x:v>
      </x:c>
    </x:row>
    <x:row r="29">
      <x:c r="A29" s="239" t="str">
        <x:v>Údržba a opravy / rezerva obnovy</x:v>
      </x:c>
      <x:c r="B29" s="240" t="n">
        <x:v>0</x:v>
      </x:c>
      <x:c r="C29" s="240" t="n">
        <x:v>0</x:v>
      </x:c>
      <x:c r="D29" s="240" t="n">
        <x:v>0</x:v>
      </x:c>
      <x:c r="E29" s="240" t="n">
        <x:f>'Předpoklady'!F6*'Předpoklady'!F17*(1+'Předpoklady'!F18)^0</x:f>
        <x:v>2.2869</x:v>
      </x:c>
      <x:c r="F29" s="240" t="n">
        <x:f>'Předpoklady'!F6*'Předpoklady'!F17*(1+'Předpoklady'!F18)^1</x:f>
        <x:v>2.3783760000000003</x:v>
      </x:c>
      <x:c r="G29" s="240" t="n">
        <x:f>'Předpoklady'!F6*'Předpoklady'!F17*(1+'Předpoklady'!F18)^2</x:f>
        <x:v>2.4735110400000004</x:v>
      </x:c>
      <x:c r="H29" s="240" t="n">
        <x:f>'Předpoklady'!F6*'Předpoklady'!F17*(1+'Předpoklady'!F18)^3</x:f>
        <x:v>2.5724514816000004</x:v>
      </x:c>
      <x:c r="I29" s="240" t="n">
        <x:f>'Předpoklady'!F6*'Předpoklady'!F17*(1+'Předpoklady'!F18)^4</x:f>
        <x:v>2.6753495408640005</x:v>
      </x:c>
      <x:c r="J29" s="240" t="n">
        <x:f>'Předpoklady'!F6*'Předpoklady'!F17*(1+'Předpoklady'!F18)^5</x:f>
        <x:v>2.782363522498561</x:v>
      </x:c>
      <x:c r="K29" s="240" t="n">
        <x:f>'Předpoklady'!F6*'Předpoklady'!F17*(1+'Předpoklady'!F18)^6</x:f>
        <x:v>2.8936580633985036</x:v>
      </x:c>
      <x:c r="L29" s="240" t="n">
        <x:f>'Předpoklady'!F6*'Předpoklady'!F17*(1+'Předpoklady'!F18)^7</x:f>
        <x:v>3.0094043859344435</x:v>
      </x:c>
      <x:c r="M29" s="240" t="n">
        <x:f>'Předpoklady'!F6*'Předpoklady'!F17*(1+'Předpoklady'!F18)^8</x:f>
        <x:v>3.1297805613718217</x:v>
      </x:c>
      <x:c r="N29" s="240" t="n">
        <x:f>'Předpoklady'!F6*'Předpoklady'!F17*(1+'Předpoklady'!F18)^9</x:f>
        <x:v>3.2549717838266945</x:v>
      </x:c>
      <x:c r="O29" s="240" t="n">
        <x:f>'Předpoklady'!F6*'Předpoklady'!F17*(1+'Předpoklady'!F18)^10</x:f>
        <x:v>3.3851706551797625</x:v>
      </x:c>
      <x:c r="P29" s="240" t="n">
        <x:f>'Předpoklady'!F6*'Předpoklady'!F17*(1+'Předpoklady'!F18)^11</x:f>
        <x:v>3.520577481386953</x:v>
      </x:c>
      <x:c r="Q29" s="240" t="n">
        <x:f>'Předpoklady'!F6*'Předpoklady'!F17*(1+'Předpoklady'!F18)^12</x:f>
        <x:v>3.6614005806424315</x:v>
      </x:c>
      <x:c r="R29" s="240" t="n">
        <x:f>'Předpoklady'!F6*'Předpoklady'!F17*(1+'Předpoklady'!F18)^13</x:f>
        <x:v>3.807856603868129</x:v>
      </x:c>
      <x:c r="S29" s="240" t="n">
        <x:f>'Předpoklady'!F6*'Předpoklady'!F17*(1+'Předpoklady'!F18)^14</x:f>
        <x:v>3.9601708680228542</x:v>
      </x:c>
    </x:row>
    <x:row r="30">
      <x:c r="A30" s="239" t="str">
        <x:v>Hrubé provozní náklady</x:v>
      </x:c>
      <x:c r="B30" s="240" t="n">
        <x:v>0</x:v>
      </x:c>
      <x:c r="C30" s="240" t="n">
        <x:v>0</x:v>
      </x:c>
      <x:c r="D30" s="240" t="n">
        <x:v>0</x:v>
      </x:c>
      <x:c r="E30" s="240" t="n">
        <x:f>SUM(E25:E29)</x:f>
        <x:v>7.586900000000001</x:v>
      </x:c>
      <x:c r="F30" s="240" t="n">
        <x:f>SUM(F25:F29)</x:f>
        <x:v>7.890376000000001</x:v>
      </x:c>
      <x:c r="G30" s="240" t="n">
        <x:f>SUM(G25:G29)</x:f>
        <x:v>8.20599104</x:v>
      </x:c>
      <x:c r="H30" s="240" t="n">
        <x:f>SUM(H25:H29)</x:f>
        <x:v>8.5342306816</x:v>
      </x:c>
      <x:c r="I30" s="240" t="n">
        <x:f>SUM(I25:I29)</x:f>
        <x:v>8.875599908864</x:v>
      </x:c>
      <x:c r="J30" s="240" t="n">
        <x:f>SUM(J25:J29)</x:f>
        <x:v>9.230623905218561</x:v>
      </x:c>
      <x:c r="K30" s="240" t="n">
        <x:f>SUM(K25:K29)</x:f>
        <x:v>9.599848861427304</x:v>
      </x:c>
      <x:c r="L30" s="240" t="n">
        <x:f>SUM(L25:L29)</x:f>
        <x:v>9.983842815884397</x:v>
      </x:c>
      <x:c r="M30" s="240" t="n">
        <x:f>SUM(M25:M29)</x:f>
        <x:v>10.383196528519775</x:v>
      </x:c>
      <x:c r="N30" s="240" t="n">
        <x:f>SUM(N25:N29)</x:f>
        <x:v>10.798524389660567</x:v>
      </x:c>
      <x:c r="O30" s="240" t="n">
        <x:f>SUM(O25:O29)</x:f>
        <x:v>11.230465365246989</x:v>
      </x:c>
      <x:c r="P30" s="240" t="n">
        <x:f>SUM(P25:P29)</x:f>
        <x:v>11.679683979856868</x:v>
      </x:c>
      <x:c r="Q30" s="240" t="n">
        <x:f>SUM(Q25:Q29)</x:f>
        <x:v>12.146871339051145</x:v>
      </x:c>
      <x:c r="R30" s="240" t="n">
        <x:f>SUM(R25:R29)</x:f>
        <x:v>12.63274619261319</x:v>
      </x:c>
      <x:c r="S30" s="240" t="n">
        <x:f>SUM(S25:S29)</x:f>
        <x:v>13.138056040317718</x:v>
      </x:c>
    </x:row>
    <x:row r="31">
      <x:c r="A31" s="239" t="str">
        <x:v>Modelovaná kompenzace RUD</x:v>
      </x:c>
      <x:c r="B31" s="240" t="n">
        <x:v>0</x:v>
      </x:c>
      <x:c r="C31" s="240" t="n">
        <x:v>0</x:v>
      </x:c>
      <x:c r="D31" s="240" t="n">
        <x:v>0</x:v>
      </x:c>
      <x:c r="E31" s="240" t="n">
        <x:f>'Demografie a RUD'!O7</x:f>
        <x:v>0.50025</x:v>
      </x:c>
      <x:c r="F31" s="240" t="n">
        <x:f>'Demografie a RUD'!O8</x:f>
        <x:v>1.0349999999999997</x:v>
      </x:c>
      <x:c r="G31" s="240" t="n">
        <x:f>'Demografie a RUD'!O9</x:f>
        <x:v>1.5214499999999997</x:v>
      </x:c>
      <x:c r="H31" s="240" t="n">
        <x:f>'Demografie a RUD'!O10</x:f>
        <x:v>1.9871999999999999</x:v>
      </x:c>
      <x:c r="I31" s="240" t="n">
        <x:f>'Demografie a RUD'!O11</x:f>
        <x:v>1.9457999999999998</x:v>
      </x:c>
      <x:c r="J31" s="240" t="n">
        <x:f>'Demografie a RUD'!O12</x:f>
        <x:v>1.9044</x:v>
      </x:c>
      <x:c r="K31" s="240" t="n">
        <x:f>'Demografie a RUD'!O13</x:f>
        <x:v>1.8629999999999998</x:v>
      </x:c>
      <x:c r="L31" s="240" t="n">
        <x:f>'Demografie a RUD'!O14</x:f>
        <x:v>1.8215999999999999</x:v>
      </x:c>
      <x:c r="M31" s="240" t="n">
        <x:f>'Demografie a RUD'!O15</x:f>
        <x:v>1.7801999999999998</x:v>
      </x:c>
      <x:c r="N31" s="240" t="n">
        <x:f>'Demografie a RUD'!O16</x:f>
        <x:v>1.7388</x:v>
      </x:c>
      <x:c r="O31" s="240" t="n">
        <x:f>'Demografie a RUD'!O17</x:f>
        <x:v>1.6973999999999998</x:v>
      </x:c>
      <x:c r="P31" s="240" t="n">
        <x:f>'Demografie a RUD'!O18</x:f>
        <x:v>1.656</x:v>
      </x:c>
      <x:c r="Q31" s="240" t="n">
        <x:f>'Demografie a RUD'!O19</x:f>
        <x:v>1.656</x:v>
      </x:c>
      <x:c r="R31" s="240" t="n">
        <x:f>'Demografie a RUD'!O20</x:f>
        <x:v>1.656</x:v>
      </x:c>
      <x:c r="S31" s="240" t="n">
        <x:f>'Demografie a RUD'!O21</x:f>
        <x:v>1.656</x:v>
      </x:c>
    </x:row>
    <x:row r="32">
      <x:c r="A32" s="239" t="str">
        <x:v>Úspora plateb Neratovicím</x:v>
      </x:c>
      <x:c r="B32" s="240" t="n">
        <x:v>0</x:v>
      </x:c>
      <x:c r="C32" s="240" t="n">
        <x:v>0</x:v>
      </x:c>
      <x:c r="D32" s="240" t="n">
        <x:v>0</x:v>
      </x:c>
      <x:c r="E32" s="240" t="n">
        <x:f>'Demografie a RUD'!P7</x:f>
        <x:v>0.2001</x:v>
      </x:c>
      <x:c r="F32" s="240" t="n">
        <x:f>'Demografie a RUD'!P8</x:f>
        <x:v>0.4139999999999999</x:v>
      </x:c>
      <x:c r="G32" s="240" t="n">
        <x:f>'Demografie a RUD'!P9</x:f>
        <x:v>0.536</x:v>
      </x:c>
      <x:c r="H32" s="240" t="n">
        <x:f>'Demografie a RUD'!P10</x:f>
        <x:v>0.536</x:v>
      </x:c>
      <x:c r="I32" s="240" t="n">
        <x:f>'Demografie a RUD'!P11</x:f>
        <x:v>0.536</x:v>
      </x:c>
      <x:c r="J32" s="240" t="n">
        <x:f>'Demografie a RUD'!P12</x:f>
        <x:v>0.536</x:v>
      </x:c>
      <x:c r="K32" s="240" t="n">
        <x:f>'Demografie a RUD'!P13</x:f>
        <x:v>0.536</x:v>
      </x:c>
      <x:c r="L32" s="240" t="n">
        <x:f>'Demografie a RUD'!P14</x:f>
        <x:v>0.536</x:v>
      </x:c>
      <x:c r="M32" s="240" t="n">
        <x:f>'Demografie a RUD'!P15</x:f>
        <x:v>0.536</x:v>
      </x:c>
      <x:c r="N32" s="240" t="n">
        <x:f>'Demografie a RUD'!P16</x:f>
        <x:v>0.536</x:v>
      </x:c>
      <x:c r="O32" s="240" t="n">
        <x:f>'Demografie a RUD'!P17</x:f>
        <x:v>0.536</x:v>
      </x:c>
      <x:c r="P32" s="240" t="n">
        <x:f>'Demografie a RUD'!P18</x:f>
        <x:v>0.536</x:v>
      </x:c>
      <x:c r="Q32" s="240" t="n">
        <x:f>'Demografie a RUD'!P19</x:f>
        <x:v>0.536</x:v>
      </x:c>
      <x:c r="R32" s="240" t="n">
        <x:f>'Demografie a RUD'!P20</x:f>
        <x:v>0.536</x:v>
      </x:c>
      <x:c r="S32" s="240" t="n">
        <x:f>'Demografie a RUD'!P21</x:f>
        <x:v>0.536</x:v>
      </x:c>
    </x:row>
    <x:row r="33">
      <x:c r="A33" s="239" t="str">
        <x:v>Čistý dodatečný provoz školy</x:v>
      </x:c>
      <x:c r="B33" s="240" t="n">
        <x:v>0</x:v>
      </x:c>
      <x:c r="C33" s="240" t="n">
        <x:v>0</x:v>
      </x:c>
      <x:c r="D33" s="240" t="n">
        <x:v>0</x:v>
      </x:c>
      <x:c r="E33" s="240" t="n">
        <x:f>MAX(0,E30-E31-E32)</x:f>
        <x:v>6.886550000000001</x:v>
      </x:c>
      <x:c r="F33" s="240" t="n">
        <x:f>MAX(0,F30-F31-F32)</x:f>
        <x:v>6.441376000000002</x:v>
      </x:c>
      <x:c r="G33" s="240" t="n">
        <x:f>MAX(0,G30-G31-G32)</x:f>
        <x:v>6.148541040000001</x:v>
      </x:c>
      <x:c r="H33" s="240" t="n">
        <x:f>MAX(0,H30-H31-H32)</x:f>
        <x:v>6.011030681600001</x:v>
      </x:c>
      <x:c r="I33" s="240" t="n">
        <x:f>MAX(0,I30-I31-I32)</x:f>
        <x:v>6.3937999088640005</x:v>
      </x:c>
      <x:c r="J33" s="240" t="n">
        <x:f>MAX(0,J30-J31-J32)</x:f>
        <x:v>6.790223905218561</x:v>
      </x:c>
      <x:c r="K33" s="240" t="n">
        <x:f>MAX(0,K30-K31-K32)</x:f>
        <x:v>7.200848861427305</x:v>
      </x:c>
      <x:c r="L33" s="240" t="n">
        <x:f>MAX(0,L30-L31-L32)</x:f>
        <x:v>7.626242815884398</x:v>
      </x:c>
      <x:c r="M33" s="240" t="n">
        <x:f>MAX(0,M30-M31-M32)</x:f>
        <x:v>8.066996528519775</x:v>
      </x:c>
      <x:c r="N33" s="240" t="n">
        <x:f>MAX(0,N30-N31-N32)</x:f>
        <x:v>8.523724389660568</x:v>
      </x:c>
      <x:c r="O33" s="240" t="n">
        <x:f>MAX(0,O30-O31-O32)</x:f>
        <x:v>8.99706536524699</x:v>
      </x:c>
      <x:c r="P33" s="240" t="n">
        <x:f>MAX(0,P30-P31-P32)</x:f>
        <x:v>9.487683979856868</x:v>
      </x:c>
      <x:c r="Q33" s="240" t="n">
        <x:f>MAX(0,Q30-Q31-Q32)</x:f>
        <x:v>9.954871339051145</x:v>
      </x:c>
      <x:c r="R33" s="240" t="n">
        <x:f>MAX(0,R30-R31-R32)</x:f>
        <x:v>10.44074619261319</x:v>
      </x:c>
      <x:c r="S33" s="240" t="n">
        <x:f>MAX(0,S30-S31-S32)</x:f>
        <x:v>10.946056040317718</x:v>
      </x:c>
    </x:row>
    <x:row r="34">
      <x:c r="A34" s="239"/>
      <x:c r="B34" s="240"/>
      <x:c r="C34" s="240"/>
      <x:c r="D34" s="240"/>
      <x:c r="E34" s="240"/>
      <x:c r="F34" s="240"/>
      <x:c r="G34" s="240"/>
      <x:c r="H34" s="240"/>
      <x:c r="I34" s="240"/>
      <x:c r="J34" s="240"/>
      <x:c r="K34" s="240"/>
      <x:c r="L34" s="240"/>
      <x:c r="M34" s="240"/>
      <x:c r="N34" s="240"/>
      <x:c r="O34" s="240"/>
      <x:c r="P34" s="240"/>
      <x:c r="Q34" s="240"/>
      <x:c r="R34" s="240"/>
      <x:c r="S34" s="240"/>
    </x:row>
    <x:row r="35">
      <x:c r="A35" s="125" t="str">
        <x:v>4. ČISTÝ DOPAD NA ROZPOČET OBCE</x:v>
      </x:c>
      <x:c r="B35" s="127"/>
      <x:c r="C35" s="127"/>
      <x:c r="D35" s="127"/>
      <x:c r="E35" s="127"/>
      <x:c r="F35" s="127"/>
      <x:c r="G35" s="127"/>
      <x:c r="H35" s="127"/>
      <x:c r="I35" s="127"/>
      <x:c r="J35" s="127"/>
      <x:c r="K35" s="127"/>
      <x:c r="L35" s="127"/>
      <x:c r="M35" s="127"/>
      <x:c r="N35" s="127"/>
      <x:c r="O35" s="127"/>
      <x:c r="P35" s="127"/>
      <x:c r="Q35" s="127"/>
      <x:c r="R35" s="127"/>
      <x:c r="S35" s="127"/>
    </x:row>
    <x:row r="36">
      <x:c r="A36" s="239" t="str">
        <x:v>Přímé vlastní investiční zdroje + vybavení</x:v>
      </x:c>
      <x:c r="B36" s="240" t="n">
        <x:f>B7+B10+B11</x:f>
        <x:v>70.5</x:v>
      </x:c>
      <x:c r="C36" s="240" t="n">
        <x:f>C7+C10+C11</x:f>
        <x:v>6.9</x:v>
      </x:c>
      <x:c r="D36" s="240" t="n">
        <x:f>D7+D10+D11</x:f>
        <x:v>9.7</x:v>
      </x:c>
      <x:c r="E36" s="240" t="n">
        <x:f>E7+E10+E11</x:f>
        <x:v>1</x:v>
      </x:c>
      <x:c r="F36" s="240" t="n">
        <x:f>F7+F10+F11</x:f>
        <x:v>1</x:v>
      </x:c>
      <x:c r="G36" s="240" t="n">
        <x:f>G7+G10+G11</x:f>
        <x:v>0</x:v>
      </x:c>
      <x:c r="H36" s="240" t="n">
        <x:f>H7+H10+H11</x:f>
        <x:v>0</x:v>
      </x:c>
      <x:c r="I36" s="240" t="n">
        <x:f>I7+I10+I11</x:f>
        <x:v>0</x:v>
      </x:c>
      <x:c r="J36" s="240" t="n">
        <x:f>J7+J10+J11</x:f>
        <x:v>0</x:v>
      </x:c>
      <x:c r="K36" s="240" t="n">
        <x:f>K7+K10+K11</x:f>
        <x:v>0</x:v>
      </x:c>
      <x:c r="L36" s="240" t="n">
        <x:f>L7+L10+L11</x:f>
        <x:v>0</x:v>
      </x:c>
      <x:c r="M36" s="240" t="n">
        <x:f>M7+M10+M11</x:f>
        <x:v>0</x:v>
      </x:c>
      <x:c r="N36" s="240" t="n">
        <x:f>N7+N10+N11</x:f>
        <x:v>0</x:v>
      </x:c>
      <x:c r="O36" s="240" t="n">
        <x:f>O7+O10+O11</x:f>
        <x:v>0</x:v>
      </x:c>
      <x:c r="P36" s="240" t="n">
        <x:f>P7+P10+P11</x:f>
        <x:v>0</x:v>
      </x:c>
      <x:c r="Q36" s="240" t="n">
        <x:f>Q7+Q10+Q11</x:f>
        <x:v>0</x:v>
      </x:c>
      <x:c r="R36" s="240" t="n">
        <x:f>R7+R10+R11</x:f>
        <x:v>0</x:v>
      </x:c>
      <x:c r="S36" s="240" t="n">
        <x:f>S7+S10+S11</x:f>
        <x:v>0</x:v>
      </x:c>
    </x:row>
    <x:row r="37">
      <x:c r="A37" s="239" t="str">
        <x:v>Dluhová služba</x:v>
      </x:c>
      <x:c r="B37" s="240" t="n">
        <x:f>B19</x:f>
        <x:v>0</x:v>
      </x:c>
      <x:c r="C37" s="240" t="n">
        <x:f>C19</x:f>
        <x:v>0</x:v>
      </x:c>
      <x:c r="D37" s="240" t="n">
        <x:f>D19</x:f>
        <x:v>0</x:v>
      </x:c>
      <x:c r="E37" s="240" t="n">
        <x:f>E19</x:f>
        <x:v>7.395765919859801</x:v>
      </x:c>
      <x:c r="F37" s="240" t="n">
        <x:f>F19</x:f>
        <x:v>7.395765919859801</x:v>
      </x:c>
      <x:c r="G37" s="240" t="n">
        <x:f>G19</x:f>
        <x:v>7.395765919859801</x:v>
      </x:c>
      <x:c r="H37" s="240" t="n">
        <x:f>H19</x:f>
        <x:v>7.395765919859801</x:v>
      </x:c>
      <x:c r="I37" s="240" t="n">
        <x:f>I19</x:f>
        <x:v>7.395765919859801</x:v>
      </x:c>
      <x:c r="J37" s="240" t="n">
        <x:f>J19</x:f>
        <x:v>7.395765919859801</x:v>
      </x:c>
      <x:c r="K37" s="240" t="n">
        <x:f>K19</x:f>
        <x:v>7.395765919859801</x:v>
      </x:c>
      <x:c r="L37" s="240" t="n">
        <x:f>L19</x:f>
        <x:v>7.395765919859801</x:v>
      </x:c>
      <x:c r="M37" s="240" t="n">
        <x:f>M19</x:f>
        <x:v>7.395765919859801</x:v>
      </x:c>
      <x:c r="N37" s="240" t="n">
        <x:f>N19</x:f>
        <x:v>7.395765919859801</x:v>
      </x:c>
      <x:c r="O37" s="240" t="n">
        <x:f>O19</x:f>
        <x:v>7.395765919859801</x:v>
      </x:c>
      <x:c r="P37" s="240" t="n">
        <x:f>P19</x:f>
        <x:v>7.395765919859801</x:v>
      </x:c>
      <x:c r="Q37" s="240" t="n">
        <x:f>Q19</x:f>
        <x:v>7.395765919859801</x:v>
      </x:c>
      <x:c r="R37" s="240" t="n">
        <x:f>R19</x:f>
        <x:v>7.395765919859801</x:v>
      </x:c>
      <x:c r="S37" s="240" t="n">
        <x:f>S19</x:f>
        <x:v>7.395765919859801</x:v>
      </x:c>
    </x:row>
    <x:row r="38">
      <x:c r="A38" s="239" t="str">
        <x:v>Čistý dodatečný provoz</x:v>
      </x:c>
      <x:c r="B38" s="240" t="n">
        <x:f>B33</x:f>
        <x:v>0</x:v>
      </x:c>
      <x:c r="C38" s="240" t="n">
        <x:f>C33</x:f>
        <x:v>0</x:v>
      </x:c>
      <x:c r="D38" s="240" t="n">
        <x:f>D33</x:f>
        <x:v>0</x:v>
      </x:c>
      <x:c r="E38" s="240" t="n">
        <x:f>E33</x:f>
        <x:v>6.886550000000001</x:v>
      </x:c>
      <x:c r="F38" s="240" t="n">
        <x:f>F33</x:f>
        <x:v>6.441376000000002</x:v>
      </x:c>
      <x:c r="G38" s="240" t="n">
        <x:f>G33</x:f>
        <x:v>6.148541040000001</x:v>
      </x:c>
      <x:c r="H38" s="240" t="n">
        <x:f>H33</x:f>
        <x:v>6.011030681600001</x:v>
      </x:c>
      <x:c r="I38" s="240" t="n">
        <x:f>I33</x:f>
        <x:v>6.3937999088640005</x:v>
      </x:c>
      <x:c r="J38" s="240" t="n">
        <x:f>J33</x:f>
        <x:v>6.790223905218561</x:v>
      </x:c>
      <x:c r="K38" s="240" t="n">
        <x:f>K33</x:f>
        <x:v>7.200848861427305</x:v>
      </x:c>
      <x:c r="L38" s="240" t="n">
        <x:f>L33</x:f>
        <x:v>7.626242815884398</x:v>
      </x:c>
      <x:c r="M38" s="240" t="n">
        <x:f>M33</x:f>
        <x:v>8.066996528519775</x:v>
      </x:c>
      <x:c r="N38" s="240" t="n">
        <x:f>N33</x:f>
        <x:v>8.523724389660568</x:v>
      </x:c>
      <x:c r="O38" s="240" t="n">
        <x:f>O33</x:f>
        <x:v>8.99706536524699</x:v>
      </x:c>
      <x:c r="P38" s="240" t="n">
        <x:f>P33</x:f>
        <x:v>9.487683979856868</x:v>
      </x:c>
      <x:c r="Q38" s="240" t="n">
        <x:f>Q33</x:f>
        <x:v>9.954871339051145</x:v>
      </x:c>
      <x:c r="R38" s="240" t="n">
        <x:f>R33</x:f>
        <x:v>10.44074619261319</x:v>
      </x:c>
      <x:c r="S38" s="240" t="n">
        <x:f>S33</x:f>
        <x:v>10.946056040317718</x:v>
      </x:c>
    </x:row>
    <x:row r="39">
      <x:c r="A39" s="244" t="str">
        <x:v>Celkový roční dopad školy na rozpočet obce</x:v>
      </x:c>
      <x:c r="B39" s="245" t="n">
        <x:f>SUM(B36:B38)</x:f>
        <x:v>70.5</x:v>
      </x:c>
      <x:c r="C39" s="245" t="n">
        <x:f>SUM(C36:C38)</x:f>
        <x:v>6.9</x:v>
      </x:c>
      <x:c r="D39" s="245" t="n">
        <x:f>SUM(D36:D38)</x:f>
        <x:v>9.7</x:v>
      </x:c>
      <x:c r="E39" s="245" t="n">
        <x:f>SUM(E36:E38)</x:f>
        <x:v>15.282315919859801</x:v>
      </x:c>
      <x:c r="F39" s="245" t="n">
        <x:f>SUM(F36:F38)</x:f>
        <x:v>14.837141919859803</x:v>
      </x:c>
      <x:c r="G39" s="245" t="n">
        <x:f>SUM(G36:G38)</x:f>
        <x:v>13.544306959859803</x:v>
      </x:c>
      <x:c r="H39" s="245" t="n">
        <x:f>SUM(H36:H38)</x:f>
        <x:v>13.406796601459803</x:v>
      </x:c>
      <x:c r="I39" s="245" t="n">
        <x:f>SUM(I36:I38)</x:f>
        <x:v>13.789565828723802</x:v>
      </x:c>
      <x:c r="J39" s="245" t="n">
        <x:f>SUM(J36:J38)</x:f>
        <x:v>14.185989825078362</x:v>
      </x:c>
      <x:c r="K39" s="245" t="n">
        <x:f>SUM(K36:K38)</x:f>
        <x:v>14.596614781287105</x:v>
      </x:c>
      <x:c r="L39" s="245" t="n">
        <x:f>SUM(L36:L38)</x:f>
        <x:v>15.022008735744198</x:v>
      </x:c>
      <x:c r="M39" s="245" t="n">
        <x:f>SUM(M36:M38)</x:f>
        <x:v>15.462762448379575</x:v>
      </x:c>
      <x:c r="N39" s="245" t="n">
        <x:f>SUM(N36:N38)</x:f>
        <x:v>15.91949030952037</x:v>
      </x:c>
      <x:c r="O39" s="245" t="n">
        <x:f>SUM(O36:O38)</x:f>
        <x:v>16.39283128510679</x:v>
      </x:c>
      <x:c r="P39" s="245" t="n">
        <x:f>SUM(P36:P38)</x:f>
        <x:v>16.88344989971667</x:v>
      </x:c>
      <x:c r="Q39" s="245" t="n">
        <x:f>SUM(Q36:Q38)</x:f>
        <x:v>17.350637258910947</x:v>
      </x:c>
      <x:c r="R39" s="245" t="n">
        <x:f>SUM(R36:R38)</x:f>
        <x:v>17.83651211247299</x:v>
      </x:c>
      <x:c r="S39" s="245" t="n">
        <x:f>SUM(S36:S38)</x:f>
        <x:v>18.34182196017752</x:v>
      </x:c>
    </x:row>
    <x:row r="40">
      <x:c r="A40" s="244" t="str">
        <x:v>Kumulativní dopad na rozpočet obce</x:v>
      </x:c>
      <x:c r="B40" s="245" t="n">
        <x:f>B39</x:f>
        <x:v>70.5</x:v>
      </x:c>
      <x:c r="C40" s="245" t="n">
        <x:f>B40+C39</x:f>
        <x:v>77.4</x:v>
      </x:c>
      <x:c r="D40" s="245" t="n">
        <x:f>C40+D39</x:f>
        <x:v>87.10000000000001</x:v>
      </x:c>
      <x:c r="E40" s="245" t="n">
        <x:f>D40+E39</x:f>
        <x:v>102.3823159198598</x:v>
      </x:c>
      <x:c r="F40" s="245" t="n">
        <x:f>E40+F39</x:f>
        <x:v>117.21945783971961</x:v>
      </x:c>
      <x:c r="G40" s="245" t="n">
        <x:f>F40+G39</x:f>
        <x:v>130.7637647995794</x:v>
      </x:c>
      <x:c r="H40" s="245" t="n">
        <x:f>G40+H39</x:f>
        <x:v>144.1705614010392</x:v>
      </x:c>
      <x:c r="I40" s="245" t="n">
        <x:f>H40+I39</x:f>
        <x:v>157.960127229763</x:v>
      </x:c>
      <x:c r="J40" s="245" t="n">
        <x:f>I40+J39</x:f>
        <x:v>172.14611705484137</x:v>
      </x:c>
      <x:c r="K40" s="245" t="n">
        <x:f>J40+K39</x:f>
        <x:v>186.74273183612848</x:v>
      </x:c>
      <x:c r="L40" s="245" t="n">
        <x:f>K40+L39</x:f>
        <x:v>201.7647405718727</x:v>
      </x:c>
      <x:c r="M40" s="245" t="n">
        <x:f>L40+M39</x:f>
        <x:v>217.22750302025227</x:v>
      </x:c>
      <x:c r="N40" s="245" t="n">
        <x:f>M40+N39</x:f>
        <x:v>233.14699332977264</x:v>
      </x:c>
      <x:c r="O40" s="245" t="n">
        <x:f>N40+O39</x:f>
        <x:v>249.53982461487942</x:v>
      </x:c>
      <x:c r="P40" s="245" t="n">
        <x:f>O40+P39</x:f>
        <x:v>266.4232745145961</x:v>
      </x:c>
      <x:c r="Q40" s="245" t="n">
        <x:f>P40+Q39</x:f>
        <x:v>283.773911773507</x:v>
      </x:c>
      <x:c r="R40" s="245" t="n">
        <x:f>Q40+R39</x:f>
        <x:v>301.61042388597997</x:v>
      </x:c>
      <x:c r="S40" s="245" t="n">
        <x:f>R40+S39</x:f>
        <x:v>319.9522458461575</x:v>
      </x:c>
    </x:row>
    <x:row r="41">
      <x:c r="A41" s="239"/>
      <x:c r="B41" s="240"/>
      <x:c r="C41" s="240"/>
      <x:c r="D41" s="240"/>
      <x:c r="E41" s="240"/>
      <x:c r="F41" s="240"/>
      <x:c r="G41" s="240"/>
      <x:c r="H41" s="240"/>
      <x:c r="I41" s="240"/>
      <x:c r="J41" s="240"/>
      <x:c r="K41" s="240"/>
      <x:c r="L41" s="240"/>
      <x:c r="M41" s="240"/>
      <x:c r="N41" s="240"/>
      <x:c r="O41" s="240"/>
      <x:c r="P41" s="240"/>
      <x:c r="Q41" s="240"/>
      <x:c r="R41" s="240"/>
      <x:c r="S41" s="240"/>
    </x:row>
    <x:row r="42">
      <x:c r="A42" s="239"/>
      <x:c r="B42" s="240"/>
      <x:c r="C42" s="240"/>
      <x:c r="D42" s="240"/>
      <x:c r="E42" s="240"/>
      <x:c r="F42" s="240"/>
      <x:c r="G42" s="240"/>
      <x:c r="H42" s="240"/>
      <x:c r="I42" s="240"/>
      <x:c r="J42" s="240"/>
      <x:c r="K42" s="240"/>
      <x:c r="L42" s="240"/>
      <x:c r="M42" s="240"/>
      <x:c r="N42" s="240"/>
      <x:c r="O42" s="240"/>
      <x:c r="P42" s="240"/>
      <x:c r="Q42" s="240"/>
      <x:c r="R42" s="240"/>
      <x:c r="S42" s="240"/>
    </x:row>
    <x:row r="43">
      <x:c r="A43" s="163" t="str">
        <x:v>KLÍČOVÉ VÝSLEDKY SCÉNÁŘE</x:v>
      </x:c>
      <x:c r="B43" s="164"/>
      <x:c r="C43" s="164"/>
      <x:c r="D43" s="164"/>
      <x:c r="E43" s="164"/>
      <x:c r="F43" s="164"/>
      <x:c r="G43" s="164"/>
      <x:c r="H43" s="164"/>
      <x:c r="I43" s="164"/>
      <x:c r="J43" s="164"/>
      <x:c r="K43" s="164"/>
      <x:c r="L43" s="164"/>
      <x:c r="M43" s="164"/>
      <x:c r="N43" s="164"/>
      <x:c r="O43" s="164"/>
      <x:c r="P43" s="164"/>
      <x:c r="Q43" s="164"/>
      <x:c r="R43" s="164"/>
      <x:c r="S43" s="164"/>
    </x:row>
    <x:row r="44">
      <x:c r="A44" s="244" t="str">
        <x:v>Cena stavebního díla po modelové rezervě</x:v>
      </x:c>
      <x:c r="B44" s="245" t="n">
        <x:f>'Předpoklady'!F6</x:f>
        <x:v>152.46</x:v>
      </x:c>
      <x:c r="C44" s="240"/>
      <x:c r="D44" s="119" t="str">
        <x:v>Interpretace: tento scénář je model citlivosti, ne rozpočet. Neznámé parametry (úrok, skutečné technologie, servis, harmonogram plateb, dotace a návštěvnost) musí vedení obce doložit konkrétními podklady. Model používá konzervativní RUD 20 tis. Kč na fyzického žáka podle vlastního podkladu obce, nikoli automaticky plný údaj MF 36,786 tis. Kč na přepočteného žáka.</x:v>
      </x:c>
      <x:c r="E44" s="119"/>
      <x:c r="F44" s="119"/>
      <x:c r="G44" s="119"/>
      <x:c r="H44" s="119"/>
      <x:c r="I44" s="119"/>
      <x:c r="J44" s="119"/>
      <x:c r="K44" s="119"/>
      <x:c r="L44" s="119"/>
      <x:c r="M44" s="119"/>
      <x:c r="N44" s="119"/>
      <x:c r="O44" s="119"/>
      <x:c r="P44" s="119"/>
      <x:c r="Q44" s="119"/>
      <x:c r="R44" s="119"/>
      <x:c r="S44" s="119"/>
    </x:row>
    <x:row r="45">
      <x:c r="A45" s="244" t="str">
        <x:v>Dotace</x:v>
      </x:c>
      <x:c r="B45" s="245" t="n">
        <x:f>'Předpoklady'!F8</x:f>
        <x:v>0</x:v>
      </x:c>
      <x:c r="C45" s="240"/>
      <x:c r="D45" s="119"/>
      <x:c r="E45" s="119"/>
      <x:c r="F45" s="119"/>
      <x:c r="G45" s="119"/>
      <x:c r="H45" s="119"/>
      <x:c r="I45" s="119"/>
      <x:c r="J45" s="119"/>
      <x:c r="K45" s="119"/>
      <x:c r="L45" s="119"/>
      <x:c r="M45" s="119"/>
      <x:c r="N45" s="119"/>
      <x:c r="O45" s="119"/>
      <x:c r="P45" s="119"/>
      <x:c r="Q45" s="119"/>
      <x:c r="R45" s="119"/>
      <x:c r="S45" s="119"/>
    </x:row>
    <x:row r="46">
      <x:c r="A46" s="244" t="str">
        <x:v>Úvěr – jistina</x:v>
      </x:c>
      <x:c r="B46" s="245" t="n">
        <x:f>'Předpoklady'!F9</x:f>
        <x:v>67.36000000000001</x:v>
      </x:c>
      <x:c r="C46" s="240"/>
      <x:c r="D46" s="119"/>
      <x:c r="E46" s="119"/>
      <x:c r="F46" s="119"/>
      <x:c r="G46" s="119"/>
      <x:c r="H46" s="119"/>
      <x:c r="I46" s="119"/>
      <x:c r="J46" s="119"/>
      <x:c r="K46" s="119"/>
      <x:c r="L46" s="119"/>
      <x:c r="M46" s="119"/>
      <x:c r="N46" s="119"/>
      <x:c r="O46" s="119"/>
      <x:c r="P46" s="119"/>
      <x:c r="Q46" s="119"/>
      <x:c r="R46" s="119"/>
      <x:c r="S46" s="119"/>
    </x:row>
    <x:row r="47">
      <x:c r="A47" s="244" t="str">
        <x:v>První plná roční splátka úvěru</x:v>
      </x:c>
      <x:c r="B47" s="245" t="n">
        <x:f>E19</x:f>
        <x:v>7.395765919859801</x:v>
      </x:c>
      <x:c r="C47" s="240"/>
      <x:c r="D47" s="119"/>
      <x:c r="E47" s="119"/>
      <x:c r="F47" s="119"/>
      <x:c r="G47" s="119"/>
      <x:c r="H47" s="119"/>
      <x:c r="I47" s="119"/>
      <x:c r="J47" s="119"/>
      <x:c r="K47" s="119"/>
      <x:c r="L47" s="119"/>
      <x:c r="M47" s="119"/>
      <x:c r="N47" s="119"/>
      <x:c r="O47" s="119"/>
      <x:c r="P47" s="119"/>
      <x:c r="Q47" s="119"/>
      <x:c r="R47" s="119"/>
      <x:c r="S47" s="119"/>
    </x:row>
    <x:row r="48">
      <x:c r="A48" s="244" t="str">
        <x:v>Celkové úroky za 15 let</x:v>
      </x:c>
      <x:c r="B48" s="245" t="n">
        <x:f>SUM(E18:S18)</x:f>
        <x:v>43.57648879789702</x:v>
      </x:c>
      <x:c r="C48" s="240"/>
      <x:c r="D48" s="119"/>
      <x:c r="E48" s="119"/>
      <x:c r="F48" s="119"/>
      <x:c r="G48" s="119"/>
      <x:c r="H48" s="119"/>
      <x:c r="I48" s="119"/>
      <x:c r="J48" s="119"/>
      <x:c r="K48" s="119"/>
      <x:c r="L48" s="119"/>
      <x:c r="M48" s="119"/>
      <x:c r="N48" s="119"/>
      <x:c r="O48" s="119"/>
      <x:c r="P48" s="119"/>
      <x:c r="Q48" s="119"/>
      <x:c r="R48" s="119"/>
      <x:c r="S48" s="119"/>
    </x:row>
    <x:row r="49">
      <x:c r="A49" s="244" t="str">
        <x:v>Celkem splátky úvěru (jistina + úroky)</x:v>
      </x:c>
      <x:c r="B49" s="245" t="n">
        <x:f>SUM(E19:S19)</x:f>
        <x:v>110.93648879789698</x:v>
      </x:c>
      <x:c r="C49" s="240"/>
      <x:c r="D49" s="119"/>
      <x:c r="E49" s="119"/>
      <x:c r="F49" s="119"/>
      <x:c r="G49" s="119"/>
      <x:c r="H49" s="119"/>
      <x:c r="I49" s="119"/>
      <x:c r="J49" s="119"/>
      <x:c r="K49" s="119"/>
      <x:c r="L49" s="119"/>
      <x:c r="M49" s="119"/>
      <x:c r="N49" s="119"/>
      <x:c r="O49" s="119"/>
      <x:c r="P49" s="119"/>
      <x:c r="Q49" s="119"/>
      <x:c r="R49" s="119"/>
      <x:c r="S49" s="119"/>
    </x:row>
    <x:row r="50">
      <x:c r="A50" s="244" t="str">
        <x:v>Vybavení</x:v>
      </x:c>
      <x:c r="B50" s="245" t="n">
        <x:f>SUM(B7:S7)</x:f>
        <x:v>4</x:v>
      </x:c>
      <x:c r="C50" s="240"/>
      <x:c r="D50" s="119"/>
      <x:c r="E50" s="119"/>
      <x:c r="F50" s="119"/>
      <x:c r="G50" s="119"/>
      <x:c r="H50" s="119"/>
      <x:c r="I50" s="119"/>
      <x:c r="J50" s="119"/>
      <x:c r="K50" s="119"/>
      <x:c r="L50" s="119"/>
      <x:c r="M50" s="119"/>
      <x:c r="N50" s="119"/>
      <x:c r="O50" s="119"/>
      <x:c r="P50" s="119"/>
      <x:c r="Q50" s="119"/>
      <x:c r="R50" s="119"/>
      <x:c r="S50" s="119"/>
    </x:row>
    <x:row r="51">
      <x:c r="A51" s="244" t="str">
        <x:v>Čistý investiční náklad obce po dotacích + úrocích</x:v>
      </x:c>
      <x:c r="B51" s="245" t="n">
        <x:f>B44-B45+B48+B50</x:f>
        <x:v>200.03648879789702</x:v>
      </x:c>
      <x:c r="C51" s="240"/>
      <x:c r="D51" s="119"/>
      <x:c r="E51" s="119"/>
      <x:c r="F51" s="119"/>
      <x:c r="G51" s="119"/>
      <x:c r="H51" s="119"/>
      <x:c r="I51" s="119"/>
      <x:c r="J51" s="119"/>
      <x:c r="K51" s="119"/>
      <x:c r="L51" s="119"/>
      <x:c r="M51" s="119"/>
      <x:c r="N51" s="119"/>
      <x:c r="O51" s="119"/>
      <x:c r="P51" s="119"/>
      <x:c r="Q51" s="119"/>
      <x:c r="R51" s="119"/>
      <x:c r="S51" s="119"/>
    </x:row>
    <x:row r="52">
      <x:c r="A52" s="244" t="str">
        <x:v>Hrubý provoz 2029–2043</x:v>
      </x:c>
      <x:c r="B52" s="245" t="n">
        <x:f>SUM(E30:S30)</x:f>
        <x:v>151.9169570482605</x:v>
      </x:c>
      <x:c r="C52" s="240"/>
      <x:c r="D52" s="119"/>
      <x:c r="E52" s="119"/>
      <x:c r="F52" s="119"/>
      <x:c r="G52" s="119"/>
      <x:c r="H52" s="119"/>
      <x:c r="I52" s="119"/>
      <x:c r="J52" s="119"/>
      <x:c r="K52" s="119"/>
      <x:c r="L52" s="119"/>
      <x:c r="M52" s="119"/>
      <x:c r="N52" s="119"/>
      <x:c r="O52" s="119"/>
      <x:c r="P52" s="119"/>
      <x:c r="Q52" s="119"/>
      <x:c r="R52" s="119"/>
      <x:c r="S52" s="119"/>
    </x:row>
    <x:row r="53">
      <x:c r="A53" s="244" t="str">
        <x:v>Možné kompenzace RUD + Neratovice</x:v>
      </x:c>
      <x:c r="B53" s="245" t="n">
        <x:f>SUM(E31:S32)</x:f>
        <x:v>32.00120000000001</x:v>
      </x:c>
      <x:c r="C53" s="240"/>
      <x:c r="D53" s="119"/>
      <x:c r="E53" s="119"/>
      <x:c r="F53" s="119"/>
      <x:c r="G53" s="119"/>
      <x:c r="H53" s="119"/>
      <x:c r="I53" s="119"/>
      <x:c r="J53" s="119"/>
      <x:c r="K53" s="119"/>
      <x:c r="L53" s="119"/>
      <x:c r="M53" s="119"/>
      <x:c r="N53" s="119"/>
      <x:c r="O53" s="119"/>
      <x:c r="P53" s="119"/>
      <x:c r="Q53" s="119"/>
      <x:c r="R53" s="119"/>
      <x:c r="S53" s="119"/>
    </x:row>
    <x:row r="54">
      <x:c r="A54" s="244" t="str">
        <x:v>Čistý provoz 2029–2043</x:v>
      </x:c>
      <x:c r="B54" s="245" t="n">
        <x:f>SUM(E33:S33)</x:f>
        <x:v>119.9157570482605</x:v>
      </x:c>
      <x:c r="C54" s="240"/>
      <x:c r="D54" s="119"/>
      <x:c r="E54" s="119"/>
      <x:c r="F54" s="119"/>
      <x:c r="G54" s="119"/>
      <x:c r="H54" s="119"/>
      <x:c r="I54" s="119"/>
      <x:c r="J54" s="119"/>
      <x:c r="K54" s="119"/>
      <x:c r="L54" s="119"/>
      <x:c r="M54" s="119"/>
      <x:c r="N54" s="119"/>
      <x:c r="O54" s="119"/>
      <x:c r="P54" s="119"/>
      <x:c r="Q54" s="119"/>
      <x:c r="R54" s="119"/>
      <x:c r="S54" s="119"/>
    </x:row>
    <x:row r="55">
      <x:c r="A55" s="249" t="str">
        <x:v>Celkový čistý dopad na rozpočet obce do 2043</x:v>
      </x:c>
      <x:c r="B55" s="250" t="n">
        <x:f>B51+B54</x:f>
        <x:v>319.95224584615755</x:v>
      </x:c>
      <x:c r="C55" s="240"/>
      <x:c r="D55" s="119"/>
      <x:c r="E55" s="119"/>
      <x:c r="F55" s="119"/>
      <x:c r="G55" s="119"/>
      <x:c r="H55" s="119"/>
      <x:c r="I55" s="119"/>
      <x:c r="J55" s="119"/>
      <x:c r="K55" s="119"/>
      <x:c r="L55" s="119"/>
      <x:c r="M55" s="119"/>
      <x:c r="N55" s="119"/>
      <x:c r="O55" s="119"/>
      <x:c r="P55" s="119"/>
      <x:c r="Q55" s="119"/>
      <x:c r="R55" s="119"/>
      <x:c r="S55" s="119"/>
    </x:row>
  </x:sheetData>
  <x:mergeCells>
    <x:mergeCell ref="A1:S1"/>
    <x:mergeCell ref="A5:S5"/>
    <x:mergeCell ref="A16:S16"/>
    <x:mergeCell ref="A23:S23"/>
    <x:mergeCell ref="A35:S35"/>
    <x:mergeCell ref="A43:S43"/>
    <x:mergeCell ref="D44:S55"/>
  </x:mergeCells>
  <x:conditionalFormatting sqref="B39:S40">
    <x:cfRule type="expression" dxfId="2" priority="1">
      <x:formula>B39&lt;0</x:formula>
    </x:cfRule>
  </x:conditionalFormatting>
  <x:pageMargins left="0.7" right="0.7" top="0.75" bottom="0.75" header="0.3" footer="0.3"/>
</x:worksheet>
</file>

<file path=xl/worksheets/sheet7.xml><?xml version="1.0" encoding="utf-8"?>
<x:worksheet xmlns:x="http://schemas.openxmlformats.org/spreadsheetml/2006/main">
  <x:sheetFormatPr defaultRowHeight="15"/>
  <x:cols>
    <x:col min="1" max="1" width="48"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s>
  <x:sheetData>
    <x:row r="1" ht="28" customHeight="1">
      <x:c r="A1" s="26" t="str">
        <x:v>Dopad na disponibilní investiční kapacitu obce (mil. Kč)</x:v>
      </x:c>
      <x:c r="B1" s="26"/>
      <x:c r="C1" s="26"/>
      <x:c r="D1" s="26"/>
      <x:c r="E1" s="26"/>
      <x:c r="F1" s="26"/>
      <x:c r="G1" s="26"/>
      <x:c r="H1" s="26"/>
      <x:c r="I1" s="26"/>
      <x:c r="J1" s="26"/>
      <x:c r="K1" s="26"/>
      <x:c r="L1" s="26"/>
      <x:c r="M1" s="26"/>
      <x:c r="N1" s="26"/>
      <x:c r="O1" s="26"/>
      <x:c r="P1" s="26"/>
      <x:c r="Q1" s="26"/>
      <x:c r="R1" s="26"/>
      <x:c r="S1" s="26"/>
    </x:row>
    <x:row r="3">
      <x:c r="A3" s="99" t="str">
        <x:v>Položka</x:v>
      </x:c>
      <x:c r="B3" s="97" t="n">
        <x:v>2026</x:v>
      </x:c>
      <x:c r="C3" s="97" t="n">
        <x:v>2027</x:v>
      </x:c>
      <x:c r="D3" s="97" t="n">
        <x:v>2028</x:v>
      </x:c>
      <x:c r="E3" s="97" t="n">
        <x:v>2029</x:v>
      </x:c>
      <x:c r="F3" s="97" t="n">
        <x:v>2030</x:v>
      </x:c>
      <x:c r="G3" s="97" t="n">
        <x:v>2031</x:v>
      </x:c>
      <x:c r="H3" s="97" t="n">
        <x:v>2032</x:v>
      </x:c>
      <x:c r="I3" s="97" t="n">
        <x:v>2033</x:v>
      </x:c>
      <x:c r="J3" s="97" t="n">
        <x:v>2034</x:v>
      </x:c>
      <x:c r="K3" s="97" t="n">
        <x:v>2035</x:v>
      </x:c>
      <x:c r="L3" s="97" t="n">
        <x:v>2036</x:v>
      </x:c>
      <x:c r="M3" s="97" t="n">
        <x:v>2037</x:v>
      </x:c>
      <x:c r="N3" s="97" t="n">
        <x:v>2038</x:v>
      </x:c>
      <x:c r="O3" s="97" t="n">
        <x:v>2039</x:v>
      </x:c>
      <x:c r="P3" s="97" t="n">
        <x:v>2040</x:v>
      </x:c>
      <x:c r="Q3" s="97" t="n">
        <x:v>2041</x:v>
      </x:c>
      <x:c r="R3" s="97" t="n">
        <x:v>2042</x:v>
      </x:c>
      <x:c r="S3" s="97" t="n">
        <x:v>2043</x:v>
      </x:c>
    </x:row>
    <x:row r="4">
      <x:c r="A4" s="106" t="str">
        <x:v>BEST – zůstatek pro jiné investice po škole a dalších známých záměrech</x:v>
      </x:c>
      <x:c r="B4" s="118"/>
      <x:c r="C4" s="118"/>
      <x:c r="D4" s="118"/>
      <x:c r="E4" s="118"/>
      <x:c r="F4" s="118"/>
      <x:c r="G4" s="118"/>
      <x:c r="H4" s="118"/>
      <x:c r="I4" s="118"/>
      <x:c r="J4" s="118"/>
      <x:c r="K4" s="118"/>
      <x:c r="L4" s="118"/>
      <x:c r="M4" s="118"/>
      <x:c r="N4" s="118"/>
      <x:c r="O4" s="118"/>
      <x:c r="P4" s="118"/>
      <x:c r="Q4" s="118"/>
      <x:c r="R4" s="118"/>
      <x:c r="S4" s="118"/>
    </x:row>
    <x:row r="5">
      <x:c r="A5" s="227" t="str">
        <x:v>Výchozí roční investiční kapacita obce</x:v>
      </x:c>
      <x:c r="B5" s="228" t="n">
        <x:v>70.5</x:v>
      </x:c>
      <x:c r="C5" s="228" t="n">
        <x:f>'Předpoklady'!D24</x:f>
        <x:v>7</x:v>
      </x:c>
      <x:c r="D5" s="228" t="n">
        <x:f>'Předpoklady'!D24</x:f>
        <x:v>7</x:v>
      </x:c>
      <x:c r="E5" s="228" t="n">
        <x:f>'Předpoklady'!D24</x:f>
        <x:v>7</x:v>
      </x:c>
      <x:c r="F5" s="228" t="n">
        <x:f>'Předpoklady'!D24</x:f>
        <x:v>7</x:v>
      </x:c>
      <x:c r="G5" s="228" t="n">
        <x:f>'Předpoklady'!D24</x:f>
        <x:v>7</x:v>
      </x:c>
      <x:c r="H5" s="228" t="n">
        <x:f>'Předpoklady'!D24</x:f>
        <x:v>7</x:v>
      </x:c>
      <x:c r="I5" s="228" t="n">
        <x:f>'Předpoklady'!D24</x:f>
        <x:v>7</x:v>
      </x:c>
      <x:c r="J5" s="228" t="n">
        <x:f>'Předpoklady'!D24</x:f>
        <x:v>7</x:v>
      </x:c>
      <x:c r="K5" s="228" t="n">
        <x:f>'Předpoklady'!D24</x:f>
        <x:v>7</x:v>
      </x:c>
      <x:c r="L5" s="228" t="n">
        <x:f>'Předpoklady'!D24</x:f>
        <x:v>7</x:v>
      </x:c>
      <x:c r="M5" s="228" t="n">
        <x:f>'Předpoklady'!D24</x:f>
        <x:v>7</x:v>
      </x:c>
      <x:c r="N5" s="228" t="n">
        <x:f>'Předpoklady'!D24</x:f>
        <x:v>7</x:v>
      </x:c>
      <x:c r="O5" s="228" t="n">
        <x:f>'Předpoklady'!D24</x:f>
        <x:v>7</x:v>
      </x:c>
      <x:c r="P5" s="228" t="n">
        <x:f>'Předpoklady'!D24</x:f>
        <x:v>7</x:v>
      </x:c>
      <x:c r="Q5" s="228" t="n">
        <x:f>'Předpoklady'!D24</x:f>
        <x:v>7</x:v>
      </x:c>
      <x:c r="R5" s="228" t="n">
        <x:f>'Předpoklady'!D24</x:f>
        <x:v>7</x:v>
      </x:c>
      <x:c r="S5" s="228" t="n">
        <x:f>'Předpoklady'!D24</x:f>
        <x:v>7</x:v>
      </x:c>
    </x:row>
    <x:row r="6">
      <x:c r="A6" s="227" t="str">
        <x:v>Škola – celkový roční dopad</x:v>
      </x:c>
      <x:c r="B6" s="228" t="n">
        <x:f>'Best case'!B39</x:f>
        <x:v>70.5</x:v>
      </x:c>
      <x:c r="C6" s="228" t="n">
        <x:f>'Best case'!C39</x:f>
        <x:v>6.9</x:v>
      </x:c>
      <x:c r="D6" s="228" t="n">
        <x:f>'Best case'!D39</x:f>
        <x:v>8.7</x:v>
      </x:c>
      <x:c r="E6" s="228" t="n">
        <x:f>'Best case'!E39</x:f>
        <x:v>7.001302857038255</x:v>
      </x:c>
      <x:c r="F6" s="228" t="n">
        <x:f>'Best case'!F39</x:f>
        <x:v>5.032630857038255</x:v>
      </x:c>
      <x:c r="G6" s="228" t="n">
        <x:f>'Best case'!G39</x:f>
        <x:v>4.352523417038254</x:v>
      </x:c>
      <x:c r="H6" s="228" t="n">
        <x:f>'Best case'!H39</x:f>
        <x:v>3.6759804282382547</x:v>
      </x:c>
      <x:c r="I6" s="228" t="n">
        <x:f>'Best case'!I39</x:f>
        <x:v>3.767167909262255</x:v>
      </x:c>
      <x:c r="J6" s="228" t="n">
        <x:f>'Best case'!J39</x:f>
        <x:v>3.8614780584987356</x:v>
      </x:c>
      <x:c r="K6" s="228" t="n">
        <x:f>'Best case'!K39</x:f>
        <x:v>3.9589993076837846</x:v>
      </x:c>
      <x:c r="L6" s="228" t="n">
        <x:f>'Best case'!L39</x:f>
        <x:v>4.059822376755651</x:v>
      </x:c>
      <x:c r="M6" s="228" t="n">
        <x:f>'Best case'!M39</x:f>
        <x:v>4.164040330010136</x:v>
      </x:c>
      <x:c r="N6" s="228" t="n">
        <x:f>'Best case'!N39</x:f>
        <x:v>4.2717486335869115</x:v>
      </x:c>
      <x:c r="O6" s="228" t="n">
        <x:f>'Best case'!O39</x:f>
        <x:v>4.383045214317571</x:v>
      </x:c>
      <x:c r="P6" s="228" t="n">
        <x:f>'Best case'!P39</x:f>
        <x:v>4.498030519966836</x:v>
      </x:c>
      <x:c r="Q6" s="228" t="n">
        <x:f>'Best case'!Q39</x:f>
        <x:v>4.540713073225408</x:v>
      </x:c>
      <x:c r="R6" s="228" t="n">
        <x:f>'Best case'!R39</x:f>
        <x:v>4.58424927754915</x:v>
      </x:c>
      <x:c r="S6" s="228" t="n">
        <x:f>'Best case'!S39</x:f>
        <x:v>4.62865620595937</x:v>
      </x:c>
    </x:row>
    <x:row r="7">
      <x:c r="A7" s="227" t="str">
        <x:v>Další nové opakované závazky (SNS + max. Securitas)</x:v>
      </x:c>
      <x:c r="B7" s="228" t="n">
        <x:v>0</x:v>
      </x:c>
      <x:c r="C7" s="228" t="n">
        <x:f>'Předpoklady'!D25</x:f>
        <x:v>0.72</x:v>
      </x:c>
      <x:c r="D7" s="228" t="n">
        <x:f>'Předpoklady'!D25</x:f>
        <x:v>0.72</x:v>
      </x:c>
      <x:c r="E7" s="228" t="n">
        <x:f>'Předpoklady'!D25</x:f>
        <x:v>0.72</x:v>
      </x:c>
      <x:c r="F7" s="228" t="n">
        <x:f>'Předpoklady'!D25</x:f>
        <x:v>0.72</x:v>
      </x:c>
      <x:c r="G7" s="228" t="n">
        <x:f>'Předpoklady'!D25</x:f>
        <x:v>0.72</x:v>
      </x:c>
      <x:c r="H7" s="228" t="n">
        <x:f>'Předpoklady'!D25</x:f>
        <x:v>0.72</x:v>
      </x:c>
      <x:c r="I7" s="228" t="n">
        <x:f>'Předpoklady'!D25</x:f>
        <x:v>0.72</x:v>
      </x:c>
      <x:c r="J7" s="228" t="n">
        <x:f>'Předpoklady'!D25</x:f>
        <x:v>0.72</x:v>
      </x:c>
      <x:c r="K7" s="228" t="n">
        <x:f>'Předpoklady'!D25</x:f>
        <x:v>0.72</x:v>
      </x:c>
      <x:c r="L7" s="228" t="n">
        <x:f>'Předpoklady'!D25</x:f>
        <x:v>0.72</x:v>
      </x:c>
      <x:c r="M7" s="228" t="n">
        <x:f>'Předpoklady'!D25</x:f>
        <x:v>0.72</x:v>
      </x:c>
      <x:c r="N7" s="228" t="n">
        <x:f>'Předpoklady'!D25</x:f>
        <x:v>0.72</x:v>
      </x:c>
      <x:c r="O7" s="228" t="n">
        <x:f>'Předpoklady'!D25</x:f>
        <x:v>0.72</x:v>
      </x:c>
      <x:c r="P7" s="228" t="n">
        <x:f>'Předpoklady'!D25</x:f>
        <x:v>0.72</x:v>
      </x:c>
      <x:c r="Q7" s="228" t="n">
        <x:f>'Předpoklady'!D25</x:f>
        <x:v>0.72</x:v>
      </x:c>
      <x:c r="R7" s="228" t="n">
        <x:f>'Předpoklady'!D25</x:f>
        <x:v>0.72</x:v>
      </x:c>
      <x:c r="S7" s="228" t="n">
        <x:f>'Předpoklady'!D25</x:f>
        <x:v>0.72</x:v>
      </x:c>
    </x:row>
    <x:row r="8">
      <x:c r="A8" s="227" t="str">
        <x:v>Technické služby (DEMO časování)</x:v>
      </x:c>
      <x:c r="B8" s="228" t="n">
        <x:v>0</x:v>
      </x:c>
      <x:c r="C8" s="228" t="n">
        <x:f>'Předpoklady'!D26/2</x:f>
        <x:v>7.5</x:v>
      </x:c>
      <x:c r="D8" s="228" t="n">
        <x:f>'Předpoklady'!D26/2</x:f>
        <x:v>7.5</x:v>
      </x:c>
      <x:c r="E8" s="228" t="n">
        <x:v>0</x:v>
      </x:c>
      <x:c r="F8" s="228" t="n">
        <x:v>0</x:v>
      </x:c>
      <x:c r="G8" s="228" t="n">
        <x:v>0</x:v>
      </x:c>
      <x:c r="H8" s="228" t="n">
        <x:v>0</x:v>
      </x:c>
      <x:c r="I8" s="228" t="n">
        <x:v>0</x:v>
      </x:c>
      <x:c r="J8" s="228" t="n">
        <x:v>0</x:v>
      </x:c>
      <x:c r="K8" s="228" t="n">
        <x:v>0</x:v>
      </x:c>
      <x:c r="L8" s="228" t="n">
        <x:v>0</x:v>
      </x:c>
      <x:c r="M8" s="228" t="n">
        <x:v>0</x:v>
      </x:c>
      <x:c r="N8" s="228" t="n">
        <x:v>0</x:v>
      </x:c>
      <x:c r="O8" s="228" t="n">
        <x:v>0</x:v>
      </x:c>
      <x:c r="P8" s="228" t="n">
        <x:v>0</x:v>
      </x:c>
      <x:c r="Q8" s="228" t="n">
        <x:v>0</x:v>
      </x:c>
      <x:c r="R8" s="228" t="n">
        <x:v>0</x:v>
      </x:c>
      <x:c r="S8" s="228" t="n">
        <x:v>0</x:v>
      </x:c>
    </x:row>
    <x:row r="9">
      <x:c r="A9" s="227" t="str">
        <x:v>Hřiště – spoluúčast</x:v>
      </x:c>
      <x:c r="B9" s="228" t="n">
        <x:v>0</x:v>
      </x:c>
      <x:c r="C9" s="228" t="n">
        <x:f>'Předpoklady'!D27</x:f>
        <x:v>1.75</x:v>
      </x:c>
      <x:c r="D9" s="228" t="n">
        <x:v>0</x:v>
      </x:c>
      <x:c r="E9" s="228" t="n">
        <x:v>0</x:v>
      </x:c>
      <x:c r="F9" s="228" t="n">
        <x:v>0</x:v>
      </x:c>
      <x:c r="G9" s="228" t="n">
        <x:v>0</x:v>
      </x:c>
      <x:c r="H9" s="228" t="n">
        <x:v>0</x:v>
      </x:c>
      <x:c r="I9" s="228" t="n">
        <x:v>0</x:v>
      </x:c>
      <x:c r="J9" s="228" t="n">
        <x:v>0</x:v>
      </x:c>
      <x:c r="K9" s="228" t="n">
        <x:v>0</x:v>
      </x:c>
      <x:c r="L9" s="228" t="n">
        <x:v>0</x:v>
      </x:c>
      <x:c r="M9" s="228" t="n">
        <x:v>0</x:v>
      </x:c>
      <x:c r="N9" s="228" t="n">
        <x:v>0</x:v>
      </x:c>
      <x:c r="O9" s="228" t="n">
        <x:v>0</x:v>
      </x:c>
      <x:c r="P9" s="228" t="n">
        <x:v>0</x:v>
      </x:c>
      <x:c r="Q9" s="228" t="n">
        <x:v>0</x:v>
      </x:c>
      <x:c r="R9" s="228" t="n">
        <x:v>0</x:v>
      </x:c>
      <x:c r="S9" s="228" t="n">
        <x:v>0</x:v>
      </x:c>
    </x:row>
    <x:row r="10">
      <x:c r="A10" s="229" t="str">
        <x:v>ZŮSTATEK PRO JINÉ INVESTICE</x:v>
      </x:c>
      <x:c r="B10" s="230" t="n">
        <x:f>B5-SUM(B6:B9)</x:f>
        <x:v>0</x:v>
      </x:c>
      <x:c r="C10" s="230" t="n">
        <x:f>C5-SUM(C6:C9)</x:f>
        <x:v>-9.870000000000001</x:v>
      </x:c>
      <x:c r="D10" s="230" t="n">
        <x:f>D5-SUM(D6:D9)</x:f>
        <x:v>-9.920000000000002</x:v>
      </x:c>
      <x:c r="E10" s="230" t="n">
        <x:f>E5-SUM(E6:E9)</x:f>
        <x:v>-0.7213028570382551</x:v>
      </x:c>
      <x:c r="F10" s="230" t="n">
        <x:f>F5-SUM(F6:F9)</x:f>
        <x:v>1.2473691429617455</x:v>
      </x:c>
      <x:c r="G10" s="230" t="n">
        <x:f>G5-SUM(G6:G9)</x:f>
        <x:v>1.927476582961746</x:v>
      </x:c>
      <x:c r="H10" s="230" t="n">
        <x:f>H5-SUM(H6:H9)</x:f>
        <x:v>2.6040195717617456</x:v>
      </x:c>
      <x:c r="I10" s="230" t="n">
        <x:f>I5-SUM(I6:I9)</x:f>
        <x:v>2.512832090737745</x:v>
      </x:c>
      <x:c r="J10" s="230" t="n">
        <x:f>J5-SUM(J6:J9)</x:f>
        <x:v>2.4185219415012646</x:v>
      </x:c>
      <x:c r="K10" s="230" t="n">
        <x:f>K5-SUM(K6:K9)</x:f>
        <x:v>2.3210006923162156</x:v>
      </x:c>
      <x:c r="L10" s="230" t="n">
        <x:f>L5-SUM(L6:L9)</x:f>
        <x:v>2.220177623244349</x:v>
      </x:c>
      <x:c r="M10" s="230" t="n">
        <x:f>M5-SUM(M6:M9)</x:f>
        <x:v>2.1159596699898646</x:v>
      </x:c>
      <x:c r="N10" s="230" t="n">
        <x:f>N5-SUM(N6:N9)</x:f>
        <x:v>2.0082513664130888</x:v>
      </x:c>
      <x:c r="O10" s="230" t="n">
        <x:f>O5-SUM(O6:O9)</x:f>
        <x:v>1.8969547856824294</x:v>
      </x:c>
      <x:c r="P10" s="230" t="n">
        <x:f>P5-SUM(P6:P9)</x:f>
        <x:v>1.7819694800331645</x:v>
      </x:c>
      <x:c r="Q10" s="230" t="n">
        <x:f>Q5-SUM(Q6:Q9)</x:f>
        <x:v>1.739286926774592</x:v>
      </x:c>
      <x:c r="R10" s="230" t="n">
        <x:f>R5-SUM(R6:R9)</x:f>
        <x:v>1.6957507224508506</x:v>
      </x:c>
      <x:c r="S10" s="230" t="n">
        <x:f>S5-SUM(S6:S9)</x:f>
        <x:v>1.6513437940406304</x:v>
      </x:c>
    </x:row>
    <x:row r="11">
      <x:c r="A11" s="227" t="str">
        <x:v>Modelový dodatečný opakovaný příjem / úspora</x:v>
      </x:c>
      <x:c r="B11" s="228" t="n">
        <x:v>0</x:v>
      </x:c>
      <x:c r="C11" s="228" t="n">
        <x:f>'Předpoklady'!D28</x:f>
        <x:v>3</x:v>
      </x:c>
      <x:c r="D11" s="228" t="n">
        <x:f>'Předpoklady'!D28</x:f>
        <x:v>3</x:v>
      </x:c>
      <x:c r="E11" s="228" t="n">
        <x:f>'Předpoklady'!D28</x:f>
        <x:v>3</x:v>
      </x:c>
      <x:c r="F11" s="228" t="n">
        <x:f>'Předpoklady'!D28</x:f>
        <x:v>3</x:v>
      </x:c>
      <x:c r="G11" s="228" t="n">
        <x:f>'Předpoklady'!D28</x:f>
        <x:v>3</x:v>
      </x:c>
      <x:c r="H11" s="228" t="n">
        <x:f>'Předpoklady'!D28</x:f>
        <x:v>3</x:v>
      </x:c>
      <x:c r="I11" s="228" t="n">
        <x:f>'Předpoklady'!D28</x:f>
        <x:v>3</x:v>
      </x:c>
      <x:c r="J11" s="228" t="n">
        <x:f>'Předpoklady'!D28</x:f>
        <x:v>3</x:v>
      </x:c>
      <x:c r="K11" s="228" t="n">
        <x:f>'Předpoklady'!D28</x:f>
        <x:v>3</x:v>
      </x:c>
      <x:c r="L11" s="228" t="n">
        <x:f>'Předpoklady'!D28</x:f>
        <x:v>3</x:v>
      </x:c>
      <x:c r="M11" s="228" t="n">
        <x:f>'Předpoklady'!D28</x:f>
        <x:v>3</x:v>
      </x:c>
      <x:c r="N11" s="228" t="n">
        <x:f>'Předpoklady'!D28</x:f>
        <x:v>3</x:v>
      </x:c>
      <x:c r="O11" s="228" t="n">
        <x:f>'Předpoklady'!D28</x:f>
        <x:v>3</x:v>
      </x:c>
      <x:c r="P11" s="228" t="n">
        <x:f>'Předpoklady'!D28</x:f>
        <x:v>3</x:v>
      </x:c>
      <x:c r="Q11" s="228" t="n">
        <x:f>'Předpoklady'!D28</x:f>
        <x:v>3</x:v>
      </x:c>
      <x:c r="R11" s="228" t="n">
        <x:f>'Předpoklady'!D28</x:f>
        <x:v>3</x:v>
      </x:c>
      <x:c r="S11" s="228" t="n">
        <x:f>'Předpoklady'!D28</x:f>
        <x:v>3</x:v>
      </x:c>
    </x:row>
    <x:row r="12">
      <x:c r="A12" s="229" t="str">
        <x:v>ZŮSTATEK PO +3 mil. opakovaného příjmu</x:v>
      </x:c>
      <x:c r="B12" s="230" t="n">
        <x:f>B10+B11</x:f>
        <x:v>0</x:v>
      </x:c>
      <x:c r="C12" s="230" t="n">
        <x:f>C10+C11</x:f>
        <x:v>-6.870000000000001</x:v>
      </x:c>
      <x:c r="D12" s="230" t="n">
        <x:f>D10+D11</x:f>
        <x:v>-6.920000000000002</x:v>
      </x:c>
      <x:c r="E12" s="230" t="n">
        <x:f>E10+E11</x:f>
        <x:v>2.278697142961745</x:v>
      </x:c>
      <x:c r="F12" s="230" t="n">
        <x:f>F10+F11</x:f>
        <x:v>4.2473691429617455</x:v>
      </x:c>
      <x:c r="G12" s="230" t="n">
        <x:f>G10+G11</x:f>
        <x:v>4.927476582961746</x:v>
      </x:c>
      <x:c r="H12" s="230" t="n">
        <x:f>H10+H11</x:f>
        <x:v>5.604019571761746</x:v>
      </x:c>
      <x:c r="I12" s="230" t="n">
        <x:f>I10+I11</x:f>
        <x:v>5.512832090737745</x:v>
      </x:c>
      <x:c r="J12" s="230" t="n">
        <x:f>J10+J11</x:f>
        <x:v>5.418521941501265</x:v>
      </x:c>
      <x:c r="K12" s="230" t="n">
        <x:f>K10+K11</x:f>
        <x:v>5.321000692316216</x:v>
      </x:c>
      <x:c r="L12" s="230" t="n">
        <x:f>L10+L11</x:f>
        <x:v>5.220177623244349</x:v>
      </x:c>
      <x:c r="M12" s="230" t="n">
        <x:f>M10+M11</x:f>
        <x:v>5.115959669989865</x:v>
      </x:c>
      <x:c r="N12" s="230" t="n">
        <x:f>N10+N11</x:f>
        <x:v>5.008251366413089</x:v>
      </x:c>
      <x:c r="O12" s="230" t="n">
        <x:f>O10+O11</x:f>
        <x:v>4.896954785682429</x:v>
      </x:c>
      <x:c r="P12" s="230" t="n">
        <x:f>P10+P11</x:f>
        <x:v>4.7819694800331645</x:v>
      </x:c>
      <x:c r="Q12" s="230" t="n">
        <x:f>Q10+Q11</x:f>
        <x:v>4.739286926774592</x:v>
      </x:c>
      <x:c r="R12" s="230" t="n">
        <x:f>R10+R11</x:f>
        <x:v>4.695750722450851</x:v>
      </x:c>
      <x:c r="S12" s="230" t="n">
        <x:f>S10+S11</x:f>
        <x:v>4.65134379404063</x:v>
      </x:c>
    </x:row>
    <x:row r="13">
      <x:c r="A13" s="227" t="str">
        <x:v>Nutný další příjem / úspora pro nezáporný zůstatek</x:v>
      </x:c>
      <x:c r="B13" s="228" t="n">
        <x:f>MAX(0,-B10)</x:f>
        <x:v>0</x:v>
      </x:c>
      <x:c r="C13" s="228" t="n">
        <x:f>MAX(0,-C10)</x:f>
        <x:v>9.870000000000001</x:v>
      </x:c>
      <x:c r="D13" s="228" t="n">
        <x:f>MAX(0,-D10)</x:f>
        <x:v>9.920000000000002</x:v>
      </x:c>
      <x:c r="E13" s="228" t="n">
        <x:f>MAX(0,-E10)</x:f>
        <x:v>0.7213028570382551</x:v>
      </x:c>
      <x:c r="F13" s="228" t="n">
        <x:f>MAX(0,-F10)</x:f>
        <x:v>0</x:v>
      </x:c>
      <x:c r="G13" s="228" t="n">
        <x:f>MAX(0,-G10)</x:f>
        <x:v>0</x:v>
      </x:c>
      <x:c r="H13" s="228" t="n">
        <x:f>MAX(0,-H10)</x:f>
        <x:v>0</x:v>
      </x:c>
      <x:c r="I13" s="228" t="n">
        <x:f>MAX(0,-I10)</x:f>
        <x:v>0</x:v>
      </x:c>
      <x:c r="J13" s="228" t="n">
        <x:f>MAX(0,-J10)</x:f>
        <x:v>0</x:v>
      </x:c>
      <x:c r="K13" s="228" t="n">
        <x:f>MAX(0,-K10)</x:f>
        <x:v>0</x:v>
      </x:c>
      <x:c r="L13" s="228" t="n">
        <x:f>MAX(0,-L10)</x:f>
        <x:v>0</x:v>
      </x:c>
      <x:c r="M13" s="228" t="n">
        <x:f>MAX(0,-M10)</x:f>
        <x:v>0</x:v>
      </x:c>
      <x:c r="N13" s="228" t="n">
        <x:f>MAX(0,-N10)</x:f>
        <x:v>0</x:v>
      </x:c>
      <x:c r="O13" s="228" t="n">
        <x:f>MAX(0,-O10)</x:f>
        <x:v>0</x:v>
      </x:c>
      <x:c r="P13" s="228" t="n">
        <x:f>MAX(0,-P10)</x:f>
        <x:v>0</x:v>
      </x:c>
      <x:c r="Q13" s="228" t="n">
        <x:f>MAX(0,-Q10)</x:f>
        <x:v>0</x:v>
      </x:c>
      <x:c r="R13" s="228" t="n">
        <x:f>MAX(0,-R10)</x:f>
        <x:v>0</x:v>
      </x:c>
      <x:c r="S13" s="228" t="n">
        <x:f>MAX(0,-S10)</x:f>
        <x:v>0</x:v>
      </x:c>
    </x:row>
    <x:row r="14">
      <x:c r="A14" s="229" t="str">
        <x:v>Nutný trvalý příjem / úspora pro zachování 7 mil. na jiné investice</x:v>
      </x:c>
      <x:c r="B14" s="230" t="n">
        <x:v>0</x:v>
      </x:c>
      <x:c r="C14" s="230" t="n">
        <x:f>MAX(0,7-C10)</x:f>
        <x:v>16.87</x:v>
      </x:c>
      <x:c r="D14" s="230" t="n">
        <x:f>MAX(0,7-D10)</x:f>
        <x:v>16.92</x:v>
      </x:c>
      <x:c r="E14" s="230" t="n">
        <x:f>MAX(0,7-E10)</x:f>
        <x:v>7.721302857038255</x:v>
      </x:c>
      <x:c r="F14" s="230" t="n">
        <x:f>MAX(0,7-F10)</x:f>
        <x:v>5.7526308570382545</x:v>
      </x:c>
      <x:c r="G14" s="230" t="n">
        <x:f>MAX(0,7-G10)</x:f>
        <x:v>5.072523417038254</x:v>
      </x:c>
      <x:c r="H14" s="230" t="n">
        <x:f>MAX(0,7-H10)</x:f>
        <x:v>4.395980428238254</x:v>
      </x:c>
      <x:c r="I14" s="230" t="n">
        <x:f>MAX(0,7-I10)</x:f>
        <x:v>4.487167909262255</x:v>
      </x:c>
      <x:c r="J14" s="230" t="n">
        <x:f>MAX(0,7-J10)</x:f>
        <x:v>4.581478058498735</x:v>
      </x:c>
      <x:c r="K14" s="230" t="n">
        <x:f>MAX(0,7-K10)</x:f>
        <x:v>4.678999307683784</x:v>
      </x:c>
      <x:c r="L14" s="230" t="n">
        <x:f>MAX(0,7-L10)</x:f>
        <x:v>4.779822376755651</x:v>
      </x:c>
      <x:c r="M14" s="230" t="n">
        <x:f>MAX(0,7-M10)</x:f>
        <x:v>4.884040330010135</x:v>
      </x:c>
      <x:c r="N14" s="230" t="n">
        <x:f>MAX(0,7-N10)</x:f>
        <x:v>4.991748633586911</x:v>
      </x:c>
      <x:c r="O14" s="230" t="n">
        <x:f>MAX(0,7-O10)</x:f>
        <x:v>5.103045214317571</x:v>
      </x:c>
      <x:c r="P14" s="230" t="n">
        <x:f>MAX(0,7-P10)</x:f>
        <x:v>5.2180305199668355</x:v>
      </x:c>
      <x:c r="Q14" s="230" t="n">
        <x:f>MAX(0,7-Q10)</x:f>
        <x:v>5.260713073225408</x:v>
      </x:c>
      <x:c r="R14" s="230" t="n">
        <x:f>MAX(0,7-R10)</x:f>
        <x:v>5.304249277549149</x:v>
      </x:c>
      <x:c r="S14" s="230" t="n">
        <x:f>MAX(0,7-S10)</x:f>
        <x:v>5.34865620595937</x:v>
      </x:c>
    </x:row>
    <x:row r="15">
      <x:c r="A15" s="151" t="str">
        <x:v>NORMAL – zůstatek pro jiné investice po škole a dalších známých záměrech</x:v>
      </x:c>
      <x:c r="B15" s="153"/>
      <x:c r="C15" s="153"/>
      <x:c r="D15" s="153"/>
      <x:c r="E15" s="153"/>
      <x:c r="F15" s="153"/>
      <x:c r="G15" s="153"/>
      <x:c r="H15" s="153"/>
      <x:c r="I15" s="153"/>
      <x:c r="J15" s="153"/>
      <x:c r="K15" s="153"/>
      <x:c r="L15" s="153"/>
      <x:c r="M15" s="153"/>
      <x:c r="N15" s="153"/>
      <x:c r="O15" s="153"/>
      <x:c r="P15" s="153"/>
      <x:c r="Q15" s="153"/>
      <x:c r="R15" s="153"/>
      <x:c r="S15" s="153"/>
    </x:row>
    <x:row r="16">
      <x:c r="A16" s="227" t="str">
        <x:v>Výchozí roční investiční kapacita obce</x:v>
      </x:c>
      <x:c r="B16" s="228" t="n">
        <x:v>70.5</x:v>
      </x:c>
      <x:c r="C16" s="228" t="n">
        <x:f>'Předpoklady'!D24</x:f>
        <x:v>7</x:v>
      </x:c>
      <x:c r="D16" s="228" t="n">
        <x:f>'Předpoklady'!D24</x:f>
        <x:v>7</x:v>
      </x:c>
      <x:c r="E16" s="228" t="n">
        <x:f>'Předpoklady'!D24</x:f>
        <x:v>7</x:v>
      </x:c>
      <x:c r="F16" s="228" t="n">
        <x:f>'Předpoklady'!D24</x:f>
        <x:v>7</x:v>
      </x:c>
      <x:c r="G16" s="228" t="n">
        <x:f>'Předpoklady'!D24</x:f>
        <x:v>7</x:v>
      </x:c>
      <x:c r="H16" s="228" t="n">
        <x:f>'Předpoklady'!D24</x:f>
        <x:v>7</x:v>
      </x:c>
      <x:c r="I16" s="228" t="n">
        <x:f>'Předpoklady'!D24</x:f>
        <x:v>7</x:v>
      </x:c>
      <x:c r="J16" s="228" t="n">
        <x:f>'Předpoklady'!D24</x:f>
        <x:v>7</x:v>
      </x:c>
      <x:c r="K16" s="228" t="n">
        <x:f>'Předpoklady'!D24</x:f>
        <x:v>7</x:v>
      </x:c>
      <x:c r="L16" s="228" t="n">
        <x:f>'Předpoklady'!D24</x:f>
        <x:v>7</x:v>
      </x:c>
      <x:c r="M16" s="228" t="n">
        <x:f>'Předpoklady'!D24</x:f>
        <x:v>7</x:v>
      </x:c>
      <x:c r="N16" s="228" t="n">
        <x:f>'Předpoklady'!D24</x:f>
        <x:v>7</x:v>
      </x:c>
      <x:c r="O16" s="228" t="n">
        <x:f>'Předpoklady'!D24</x:f>
        <x:v>7</x:v>
      </x:c>
      <x:c r="P16" s="228" t="n">
        <x:f>'Předpoklady'!D24</x:f>
        <x:v>7</x:v>
      </x:c>
      <x:c r="Q16" s="228" t="n">
        <x:f>'Předpoklady'!D24</x:f>
        <x:v>7</x:v>
      </x:c>
      <x:c r="R16" s="228" t="n">
        <x:f>'Předpoklady'!D24</x:f>
        <x:v>7</x:v>
      </x:c>
      <x:c r="S16" s="228" t="n">
        <x:f>'Předpoklady'!D24</x:f>
        <x:v>7</x:v>
      </x:c>
    </x:row>
    <x:row r="17">
      <x:c r="A17" s="227" t="str">
        <x:v>Škola – celkový roční dopad</x:v>
      </x:c>
      <x:c r="B17" s="228" t="n">
        <x:f>'Normal case'!B39</x:f>
        <x:v>70.5</x:v>
      </x:c>
      <x:c r="C17" s="228" t="n">
        <x:f>'Normal case'!C39</x:f>
        <x:v>6.9</x:v>
      </x:c>
      <x:c r="D17" s="228" t="n">
        <x:f>'Normal case'!D39</x:f>
        <x:v>8.7</x:v>
      </x:c>
      <x:c r="E17" s="228" t="n">
        <x:f>'Normal case'!E39</x:f>
        <x:v>11.908062113714294</x:v>
      </x:c>
      <x:c r="F17" s="228" t="n">
        <x:f>'Normal case'!F39</x:f>
        <x:v>11.188022113714293</x:v>
      </x:c>
      <x:c r="G17" s="228" t="n">
        <x:f>'Normal case'!G39</x:f>
        <x:v>9.703644013714293</x:v>
      </x:c>
      <x:c r="H17" s="228" t="n">
        <x:f>'Normal case'!H39</x:f>
        <x:v>9.287784901714295</x:v>
      </x:c>
      <x:c r="I17" s="228" t="n">
        <x:f>'Normal case'!I39</x:f>
        <x:v>9.483940680424293</x:v>
      </x:c>
      <x:c r="J17" s="228" t="n">
        <x:f>'Normal case'!J39</x:f>
        <x:v>9.686523212165193</x:v>
      </x:c>
      <x:c r="K17" s="228" t="n">
        <x:f>'Normal case'!K39</x:f>
        <x:v>9.89572196799662</x:v>
      </x:c>
      <x:c r="L17" s="228" t="n">
        <x:f>'Normal case'!L39</x:f>
        <x:v>10.111731881196118</x:v>
      </x:c>
      <x:c r="M17" s="228" t="n">
        <x:f>'Normal case'!M39</x:f>
        <x:v>10.334753505217874</x:v>
      </x:c>
      <x:c r="N17" s="228" t="n">
        <x:f>'Normal case'!N39</x:f>
        <x:v>10.564993176262895</x:v>
      </x:c>
      <x:c r="O17" s="228" t="n">
        <x:f>'Normal case'!O39</x:f>
        <x:v>10.802663180596483</x:v>
      </x:c>
      <x:c r="P17" s="228" t="n">
        <x:f>'Normal case'!P39</x:f>
        <x:v>11.047981926752916</x:v>
      </x:c>
      <x:c r="Q17" s="228" t="n">
        <x:f>'Normal case'!Q39</x:f>
        <x:v>11.243784450541211</x:v>
      </x:c>
      <x:c r="R17" s="228" t="n">
        <x:f>'Normal case'!R39</x:f>
        <x:v>11.44596992398411</x:v>
      </x:c>
      <x:c r="S17" s="228" t="n">
        <x:f>'Normal case'!S39</x:f>
        <x:v>11.654737468680368</x:v>
      </x:c>
    </x:row>
    <x:row r="18">
      <x:c r="A18" s="227" t="str">
        <x:v>Další nové opakované závazky (SNS + max. Securitas)</x:v>
      </x:c>
      <x:c r="B18" s="228" t="n">
        <x:v>0</x:v>
      </x:c>
      <x:c r="C18" s="228" t="n">
        <x:f>'Předpoklady'!D25</x:f>
        <x:v>0.72</x:v>
      </x:c>
      <x:c r="D18" s="228" t="n">
        <x:f>'Předpoklady'!D25</x:f>
        <x:v>0.72</x:v>
      </x:c>
      <x:c r="E18" s="228" t="n">
        <x:f>'Předpoklady'!D25</x:f>
        <x:v>0.72</x:v>
      </x:c>
      <x:c r="F18" s="228" t="n">
        <x:f>'Předpoklady'!D25</x:f>
        <x:v>0.72</x:v>
      </x:c>
      <x:c r="G18" s="228" t="n">
        <x:f>'Předpoklady'!D25</x:f>
        <x:v>0.72</x:v>
      </x:c>
      <x:c r="H18" s="228" t="n">
        <x:f>'Předpoklady'!D25</x:f>
        <x:v>0.72</x:v>
      </x:c>
      <x:c r="I18" s="228" t="n">
        <x:f>'Předpoklady'!D25</x:f>
        <x:v>0.72</x:v>
      </x:c>
      <x:c r="J18" s="228" t="n">
        <x:f>'Předpoklady'!D25</x:f>
        <x:v>0.72</x:v>
      </x:c>
      <x:c r="K18" s="228" t="n">
        <x:f>'Předpoklady'!D25</x:f>
        <x:v>0.72</x:v>
      </x:c>
      <x:c r="L18" s="228" t="n">
        <x:f>'Předpoklady'!D25</x:f>
        <x:v>0.72</x:v>
      </x:c>
      <x:c r="M18" s="228" t="n">
        <x:f>'Předpoklady'!D25</x:f>
        <x:v>0.72</x:v>
      </x:c>
      <x:c r="N18" s="228" t="n">
        <x:f>'Předpoklady'!D25</x:f>
        <x:v>0.72</x:v>
      </x:c>
      <x:c r="O18" s="228" t="n">
        <x:f>'Předpoklady'!D25</x:f>
        <x:v>0.72</x:v>
      </x:c>
      <x:c r="P18" s="228" t="n">
        <x:f>'Předpoklady'!D25</x:f>
        <x:v>0.72</x:v>
      </x:c>
      <x:c r="Q18" s="228" t="n">
        <x:f>'Předpoklady'!D25</x:f>
        <x:v>0.72</x:v>
      </x:c>
      <x:c r="R18" s="228" t="n">
        <x:f>'Předpoklady'!D25</x:f>
        <x:v>0.72</x:v>
      </x:c>
      <x:c r="S18" s="228" t="n">
        <x:f>'Předpoklady'!D25</x:f>
        <x:v>0.72</x:v>
      </x:c>
    </x:row>
    <x:row r="19">
      <x:c r="A19" s="227" t="str">
        <x:v>Technické služby (DEMO časování)</x:v>
      </x:c>
      <x:c r="B19" s="228" t="n">
        <x:v>0</x:v>
      </x:c>
      <x:c r="C19" s="228" t="n">
        <x:f>'Předpoklady'!D26/2</x:f>
        <x:v>7.5</x:v>
      </x:c>
      <x:c r="D19" s="228" t="n">
        <x:f>'Předpoklady'!D26/2</x:f>
        <x:v>7.5</x:v>
      </x:c>
      <x:c r="E19" s="228" t="n">
        <x:v>0</x:v>
      </x:c>
      <x:c r="F19" s="228" t="n">
        <x:v>0</x:v>
      </x:c>
      <x:c r="G19" s="228" t="n">
        <x:v>0</x:v>
      </x:c>
      <x:c r="H19" s="228" t="n">
        <x:v>0</x:v>
      </x:c>
      <x:c r="I19" s="228" t="n">
        <x:v>0</x:v>
      </x:c>
      <x:c r="J19" s="228" t="n">
        <x:v>0</x:v>
      </x:c>
      <x:c r="K19" s="228" t="n">
        <x:v>0</x:v>
      </x:c>
      <x:c r="L19" s="228" t="n">
        <x:v>0</x:v>
      </x:c>
      <x:c r="M19" s="228" t="n">
        <x:v>0</x:v>
      </x:c>
      <x:c r="N19" s="228" t="n">
        <x:v>0</x:v>
      </x:c>
      <x:c r="O19" s="228" t="n">
        <x:v>0</x:v>
      </x:c>
      <x:c r="P19" s="228" t="n">
        <x:v>0</x:v>
      </x:c>
      <x:c r="Q19" s="228" t="n">
        <x:v>0</x:v>
      </x:c>
      <x:c r="R19" s="228" t="n">
        <x:v>0</x:v>
      </x:c>
      <x:c r="S19" s="228" t="n">
        <x:v>0</x:v>
      </x:c>
    </x:row>
    <x:row r="20">
      <x:c r="A20" s="227" t="str">
        <x:v>Hřiště – spoluúčast</x:v>
      </x:c>
      <x:c r="B20" s="228" t="n">
        <x:v>0</x:v>
      </x:c>
      <x:c r="C20" s="228" t="n">
        <x:f>'Předpoklady'!D27</x:f>
        <x:v>1.75</x:v>
      </x:c>
      <x:c r="D20" s="228" t="n">
        <x:v>0</x:v>
      </x:c>
      <x:c r="E20" s="228" t="n">
        <x:v>0</x:v>
      </x:c>
      <x:c r="F20" s="228" t="n">
        <x:v>0</x:v>
      </x:c>
      <x:c r="G20" s="228" t="n">
        <x:v>0</x:v>
      </x:c>
      <x:c r="H20" s="228" t="n">
        <x:v>0</x:v>
      </x:c>
      <x:c r="I20" s="228" t="n">
        <x:v>0</x:v>
      </x:c>
      <x:c r="J20" s="228" t="n">
        <x:v>0</x:v>
      </x:c>
      <x:c r="K20" s="228" t="n">
        <x:v>0</x:v>
      </x:c>
      <x:c r="L20" s="228" t="n">
        <x:v>0</x:v>
      </x:c>
      <x:c r="M20" s="228" t="n">
        <x:v>0</x:v>
      </x:c>
      <x:c r="N20" s="228" t="n">
        <x:v>0</x:v>
      </x:c>
      <x:c r="O20" s="228" t="n">
        <x:v>0</x:v>
      </x:c>
      <x:c r="P20" s="228" t="n">
        <x:v>0</x:v>
      </x:c>
      <x:c r="Q20" s="228" t="n">
        <x:v>0</x:v>
      </x:c>
      <x:c r="R20" s="228" t="n">
        <x:v>0</x:v>
      </x:c>
      <x:c r="S20" s="228" t="n">
        <x:v>0</x:v>
      </x:c>
    </x:row>
    <x:row r="21">
      <x:c r="A21" s="229" t="str">
        <x:v>ZŮSTATEK PRO JINÉ INVESTICE</x:v>
      </x:c>
      <x:c r="B21" s="230" t="n">
        <x:f>B16-SUM(B17:B20)</x:f>
        <x:v>0</x:v>
      </x:c>
      <x:c r="C21" s="230" t="n">
        <x:f>C16-SUM(C17:C20)</x:f>
        <x:v>-9.870000000000001</x:v>
      </x:c>
      <x:c r="D21" s="230" t="n">
        <x:f>D16-SUM(D17:D20)</x:f>
        <x:v>-9.920000000000002</x:v>
      </x:c>
      <x:c r="E21" s="230" t="n">
        <x:f>E16-SUM(E17:E20)</x:f>
        <x:v>-5.628062113714295</x:v>
      </x:c>
      <x:c r="F21" s="230" t="n">
        <x:f>F16-SUM(F17:F20)</x:f>
        <x:v>-4.908022113714294</x:v>
      </x:c>
      <x:c r="G21" s="230" t="n">
        <x:f>G16-SUM(G17:G20)</x:f>
        <x:v>-3.423644013714293</x:v>
      </x:c>
      <x:c r="H21" s="230" t="n">
        <x:f>H16-SUM(H17:H20)</x:f>
        <x:v>-3.0077849017142952</x:v>
      </x:c>
      <x:c r="I21" s="230" t="n">
        <x:f>I16-SUM(I17:I20)</x:f>
        <x:v>-3.203940680424294</x:v>
      </x:c>
      <x:c r="J21" s="230" t="n">
        <x:f>J16-SUM(J17:J20)</x:f>
        <x:v>-3.406523212165194</x:v>
      </x:c>
      <x:c r="K21" s="230" t="n">
        <x:f>K16-SUM(K17:K20)</x:f>
        <x:v>-3.6157219679966204</x:v>
      </x:c>
      <x:c r="L21" s="230" t="n">
        <x:f>L16-SUM(L17:L20)</x:f>
        <x:v>-3.8317318811961183</x:v>
      </x:c>
      <x:c r="M21" s="230" t="n">
        <x:f>M16-SUM(M17:M20)</x:f>
        <x:v>-4.0547535052178745</x:v>
      </x:c>
      <x:c r="N21" s="230" t="n">
        <x:f>N16-SUM(N17:N20)</x:f>
        <x:v>-4.284993176262896</x:v>
      </x:c>
      <x:c r="O21" s="230" t="n">
        <x:f>O16-SUM(O17:O20)</x:f>
        <x:v>-4.522663180596483</x:v>
      </x:c>
      <x:c r="P21" s="230" t="n">
        <x:f>P16-SUM(P17:P20)</x:f>
        <x:v>-4.767981926752917</x:v>
      </x:c>
      <x:c r="Q21" s="230" t="n">
        <x:f>Q16-SUM(Q17:Q20)</x:f>
        <x:v>-4.963784450541212</x:v>
      </x:c>
      <x:c r="R21" s="230" t="n">
        <x:f>R16-SUM(R17:R20)</x:f>
        <x:v>-5.165969923984111</x:v>
      </x:c>
      <x:c r="S21" s="230" t="n">
        <x:f>S16-SUM(S17:S20)</x:f>
        <x:v>-5.374737468680369</x:v>
      </x:c>
    </x:row>
    <x:row r="22">
      <x:c r="A22" s="227" t="str">
        <x:v>Modelový dodatečný opakovaný příjem / úspora</x:v>
      </x:c>
      <x:c r="B22" s="228" t="n">
        <x:v>0</x:v>
      </x:c>
      <x:c r="C22" s="228" t="n">
        <x:f>'Předpoklady'!D28</x:f>
        <x:v>3</x:v>
      </x:c>
      <x:c r="D22" s="228" t="n">
        <x:f>'Předpoklady'!D28</x:f>
        <x:v>3</x:v>
      </x:c>
      <x:c r="E22" s="228" t="n">
        <x:f>'Předpoklady'!D28</x:f>
        <x:v>3</x:v>
      </x:c>
      <x:c r="F22" s="228" t="n">
        <x:f>'Předpoklady'!D28</x:f>
        <x:v>3</x:v>
      </x:c>
      <x:c r="G22" s="228" t="n">
        <x:f>'Předpoklady'!D28</x:f>
        <x:v>3</x:v>
      </x:c>
      <x:c r="H22" s="228" t="n">
        <x:f>'Předpoklady'!D28</x:f>
        <x:v>3</x:v>
      </x:c>
      <x:c r="I22" s="228" t="n">
        <x:f>'Předpoklady'!D28</x:f>
        <x:v>3</x:v>
      </x:c>
      <x:c r="J22" s="228" t="n">
        <x:f>'Předpoklady'!D28</x:f>
        <x:v>3</x:v>
      </x:c>
      <x:c r="K22" s="228" t="n">
        <x:f>'Předpoklady'!D28</x:f>
        <x:v>3</x:v>
      </x:c>
      <x:c r="L22" s="228" t="n">
        <x:f>'Předpoklady'!D28</x:f>
        <x:v>3</x:v>
      </x:c>
      <x:c r="M22" s="228" t="n">
        <x:f>'Předpoklady'!D28</x:f>
        <x:v>3</x:v>
      </x:c>
      <x:c r="N22" s="228" t="n">
        <x:f>'Předpoklady'!D28</x:f>
        <x:v>3</x:v>
      </x:c>
      <x:c r="O22" s="228" t="n">
        <x:f>'Předpoklady'!D28</x:f>
        <x:v>3</x:v>
      </x:c>
      <x:c r="P22" s="228" t="n">
        <x:f>'Předpoklady'!D28</x:f>
        <x:v>3</x:v>
      </x:c>
      <x:c r="Q22" s="228" t="n">
        <x:f>'Předpoklady'!D28</x:f>
        <x:v>3</x:v>
      </x:c>
      <x:c r="R22" s="228" t="n">
        <x:f>'Předpoklady'!D28</x:f>
        <x:v>3</x:v>
      </x:c>
      <x:c r="S22" s="228" t="n">
        <x:f>'Předpoklady'!D28</x:f>
        <x:v>3</x:v>
      </x:c>
    </x:row>
    <x:row r="23">
      <x:c r="A23" s="229" t="str">
        <x:v>ZŮSTATEK PO +3 mil. opakovaného příjmu</x:v>
      </x:c>
      <x:c r="B23" s="230" t="n">
        <x:f>B21+B22</x:f>
        <x:v>0</x:v>
      </x:c>
      <x:c r="C23" s="230" t="n">
        <x:f>C21+C22</x:f>
        <x:v>-6.870000000000001</x:v>
      </x:c>
      <x:c r="D23" s="230" t="n">
        <x:f>D21+D22</x:f>
        <x:v>-6.920000000000002</x:v>
      </x:c>
      <x:c r="E23" s="230" t="n">
        <x:f>E21+E22</x:f>
        <x:v>-2.6280621137142948</x:v>
      </x:c>
      <x:c r="F23" s="230" t="n">
        <x:f>F21+F22</x:f>
        <x:v>-1.9080221137142939</x:v>
      </x:c>
      <x:c r="G23" s="230" t="n">
        <x:f>G21+G22</x:f>
        <x:v>-0.42364401371429317</x:v>
      </x:c>
      <x:c r="H23" s="230" t="n">
        <x:f>H21+H22</x:f>
        <x:v>-0.007784901714295245</x:v>
      </x:c>
      <x:c r="I23" s="230" t="n">
        <x:f>I21+I22</x:f>
        <x:v>-0.20394068042429403</x:v>
      </x:c>
      <x:c r="J23" s="230" t="n">
        <x:f>J21+J22</x:f>
        <x:v>-0.4065232121651938</x:v>
      </x:c>
      <x:c r="K23" s="230" t="n">
        <x:f>K21+K22</x:f>
        <x:v>-0.6157219679966204</x:v>
      </x:c>
      <x:c r="L23" s="230" t="n">
        <x:f>L21+L22</x:f>
        <x:v>-0.8317318811961183</x:v>
      </x:c>
      <x:c r="M23" s="230" t="n">
        <x:f>M21+M22</x:f>
        <x:v>-1.0547535052178745</x:v>
      </x:c>
      <x:c r="N23" s="230" t="n">
        <x:f>N21+N22</x:f>
        <x:v>-1.2849931762628959</x:v>
      </x:c>
      <x:c r="O23" s="230" t="n">
        <x:f>O21+O22</x:f>
        <x:v>-1.5226631805964832</x:v>
      </x:c>
      <x:c r="P23" s="230" t="n">
        <x:f>P21+P22</x:f>
        <x:v>-1.7679819267529169</x:v>
      </x:c>
      <x:c r="Q23" s="230" t="n">
        <x:f>Q21+Q22</x:f>
        <x:v>-1.9637844505412119</x:v>
      </x:c>
      <x:c r="R23" s="230" t="n">
        <x:f>R21+R22</x:f>
        <x:v>-2.165969923984111</x:v>
      </x:c>
      <x:c r="S23" s="230" t="n">
        <x:f>S21+S22</x:f>
        <x:v>-2.374737468680369</x:v>
      </x:c>
    </x:row>
    <x:row r="24">
      <x:c r="A24" s="227" t="str">
        <x:v>Nutný další příjem / úspora pro nezáporný zůstatek</x:v>
      </x:c>
      <x:c r="B24" s="228" t="n">
        <x:f>MAX(0,-B21)</x:f>
        <x:v>0</x:v>
      </x:c>
      <x:c r="C24" s="228" t="n">
        <x:f>MAX(0,-C21)</x:f>
        <x:v>9.870000000000001</x:v>
      </x:c>
      <x:c r="D24" s="228" t="n">
        <x:f>MAX(0,-D21)</x:f>
        <x:v>9.920000000000002</x:v>
      </x:c>
      <x:c r="E24" s="228" t="n">
        <x:f>MAX(0,-E21)</x:f>
        <x:v>5.628062113714295</x:v>
      </x:c>
      <x:c r="F24" s="228" t="n">
        <x:f>MAX(0,-F21)</x:f>
        <x:v>4.908022113714294</x:v>
      </x:c>
      <x:c r="G24" s="228" t="n">
        <x:f>MAX(0,-G21)</x:f>
        <x:v>3.423644013714293</x:v>
      </x:c>
      <x:c r="H24" s="228" t="n">
        <x:f>MAX(0,-H21)</x:f>
        <x:v>3.0077849017142952</x:v>
      </x:c>
      <x:c r="I24" s="228" t="n">
        <x:f>MAX(0,-I21)</x:f>
        <x:v>3.203940680424294</x:v>
      </x:c>
      <x:c r="J24" s="228" t="n">
        <x:f>MAX(0,-J21)</x:f>
        <x:v>3.406523212165194</x:v>
      </x:c>
      <x:c r="K24" s="228" t="n">
        <x:f>MAX(0,-K21)</x:f>
        <x:v>3.6157219679966204</x:v>
      </x:c>
      <x:c r="L24" s="228" t="n">
        <x:f>MAX(0,-L21)</x:f>
        <x:v>3.8317318811961183</x:v>
      </x:c>
      <x:c r="M24" s="228" t="n">
        <x:f>MAX(0,-M21)</x:f>
        <x:v>4.0547535052178745</x:v>
      </x:c>
      <x:c r="N24" s="228" t="n">
        <x:f>MAX(0,-N21)</x:f>
        <x:v>4.284993176262896</x:v>
      </x:c>
      <x:c r="O24" s="228" t="n">
        <x:f>MAX(0,-O21)</x:f>
        <x:v>4.522663180596483</x:v>
      </x:c>
      <x:c r="P24" s="228" t="n">
        <x:f>MAX(0,-P21)</x:f>
        <x:v>4.767981926752917</x:v>
      </x:c>
      <x:c r="Q24" s="228" t="n">
        <x:f>MAX(0,-Q21)</x:f>
        <x:v>4.963784450541212</x:v>
      </x:c>
      <x:c r="R24" s="228" t="n">
        <x:f>MAX(0,-R21)</x:f>
        <x:v>5.165969923984111</x:v>
      </x:c>
      <x:c r="S24" s="228" t="n">
        <x:f>MAX(0,-S21)</x:f>
        <x:v>5.374737468680369</x:v>
      </x:c>
    </x:row>
    <x:row r="25">
      <x:c r="A25" s="229" t="str">
        <x:v>Nutný trvalý příjem / úspora pro zachování 7 mil. na jiné investice</x:v>
      </x:c>
      <x:c r="B25" s="230" t="n">
        <x:v>0</x:v>
      </x:c>
      <x:c r="C25" s="230" t="n">
        <x:f>MAX(0,7-C21)</x:f>
        <x:v>16.87</x:v>
      </x:c>
      <x:c r="D25" s="230" t="n">
        <x:f>MAX(0,7-D21)</x:f>
        <x:v>16.92</x:v>
      </x:c>
      <x:c r="E25" s="230" t="n">
        <x:f>MAX(0,7-E21)</x:f>
        <x:v>12.628062113714295</x:v>
      </x:c>
      <x:c r="F25" s="230" t="n">
        <x:f>MAX(0,7-F21)</x:f>
        <x:v>11.908022113714294</x:v>
      </x:c>
      <x:c r="G25" s="230" t="n">
        <x:f>MAX(0,7-G21)</x:f>
        <x:v>10.423644013714293</x:v>
      </x:c>
      <x:c r="H25" s="230" t="n">
        <x:f>MAX(0,7-H21)</x:f>
        <x:v>10.007784901714295</x:v>
      </x:c>
      <x:c r="I25" s="230" t="n">
        <x:f>MAX(0,7-I21)</x:f>
        <x:v>10.203940680424294</x:v>
      </x:c>
      <x:c r="J25" s="230" t="n">
        <x:f>MAX(0,7-J21)</x:f>
        <x:v>10.406523212165194</x:v>
      </x:c>
      <x:c r="K25" s="230" t="n">
        <x:f>MAX(0,7-K21)</x:f>
        <x:v>10.61572196799662</x:v>
      </x:c>
      <x:c r="L25" s="230" t="n">
        <x:f>MAX(0,7-L21)</x:f>
        <x:v>10.831731881196118</x:v>
      </x:c>
      <x:c r="M25" s="230" t="n">
        <x:f>MAX(0,7-M21)</x:f>
        <x:v>11.054753505217874</x:v>
      </x:c>
      <x:c r="N25" s="230" t="n">
        <x:f>MAX(0,7-N21)</x:f>
        <x:v>11.284993176262896</x:v>
      </x:c>
      <x:c r="O25" s="230" t="n">
        <x:f>MAX(0,7-O21)</x:f>
        <x:v>11.522663180596483</x:v>
      </x:c>
      <x:c r="P25" s="230" t="n">
        <x:f>MAX(0,7-P21)</x:f>
        <x:v>11.767981926752917</x:v>
      </x:c>
      <x:c r="Q25" s="230" t="n">
        <x:f>MAX(0,7-Q21)</x:f>
        <x:v>11.963784450541212</x:v>
      </x:c>
      <x:c r="R25" s="230" t="n">
        <x:f>MAX(0,7-R21)</x:f>
        <x:v>12.165969923984111</x:v>
      </x:c>
      <x:c r="S25" s="230" t="n">
        <x:f>MAX(0,7-S21)</x:f>
        <x:v>12.374737468680369</x:v>
      </x:c>
    </x:row>
    <x:row r="26">
      <x:c r="A26" s="159" t="str">
        <x:v>WORST – zůstatek pro jiné investice po škole a dalších známých záměrech</x:v>
      </x:c>
      <x:c r="B26" s="161"/>
      <x:c r="C26" s="161"/>
      <x:c r="D26" s="161"/>
      <x:c r="E26" s="161"/>
      <x:c r="F26" s="161"/>
      <x:c r="G26" s="161"/>
      <x:c r="H26" s="161"/>
      <x:c r="I26" s="161"/>
      <x:c r="J26" s="161"/>
      <x:c r="K26" s="161"/>
      <x:c r="L26" s="161"/>
      <x:c r="M26" s="161"/>
      <x:c r="N26" s="161"/>
      <x:c r="O26" s="161"/>
      <x:c r="P26" s="161"/>
      <x:c r="Q26" s="161"/>
      <x:c r="R26" s="161"/>
      <x:c r="S26" s="161"/>
    </x:row>
    <x:row r="27">
      <x:c r="A27" s="227" t="str">
        <x:v>Výchozí roční investiční kapacita obce</x:v>
      </x:c>
      <x:c r="B27" s="228" t="n">
        <x:v>70.5</x:v>
      </x:c>
      <x:c r="C27" s="228" t="n">
        <x:f>'Předpoklady'!D24</x:f>
        <x:v>7</x:v>
      </x:c>
      <x:c r="D27" s="228" t="n">
        <x:f>'Předpoklady'!D24</x:f>
        <x:v>7</x:v>
      </x:c>
      <x:c r="E27" s="228" t="n">
        <x:f>'Předpoklady'!D24</x:f>
        <x:v>7</x:v>
      </x:c>
      <x:c r="F27" s="228" t="n">
        <x:f>'Předpoklady'!D24</x:f>
        <x:v>7</x:v>
      </x:c>
      <x:c r="G27" s="228" t="n">
        <x:f>'Předpoklady'!D24</x:f>
        <x:v>7</x:v>
      </x:c>
      <x:c r="H27" s="228" t="n">
        <x:f>'Předpoklady'!D24</x:f>
        <x:v>7</x:v>
      </x:c>
      <x:c r="I27" s="228" t="n">
        <x:f>'Předpoklady'!D24</x:f>
        <x:v>7</x:v>
      </x:c>
      <x:c r="J27" s="228" t="n">
        <x:f>'Předpoklady'!D24</x:f>
        <x:v>7</x:v>
      </x:c>
      <x:c r="K27" s="228" t="n">
        <x:f>'Předpoklady'!D24</x:f>
        <x:v>7</x:v>
      </x:c>
      <x:c r="L27" s="228" t="n">
        <x:f>'Předpoklady'!D24</x:f>
        <x:v>7</x:v>
      </x:c>
      <x:c r="M27" s="228" t="n">
        <x:f>'Předpoklady'!D24</x:f>
        <x:v>7</x:v>
      </x:c>
      <x:c r="N27" s="228" t="n">
        <x:f>'Předpoklady'!D24</x:f>
        <x:v>7</x:v>
      </x:c>
      <x:c r="O27" s="228" t="n">
        <x:f>'Předpoklady'!D24</x:f>
        <x:v>7</x:v>
      </x:c>
      <x:c r="P27" s="228" t="n">
        <x:f>'Předpoklady'!D24</x:f>
        <x:v>7</x:v>
      </x:c>
      <x:c r="Q27" s="228" t="n">
        <x:f>'Předpoklady'!D24</x:f>
        <x:v>7</x:v>
      </x:c>
      <x:c r="R27" s="228" t="n">
        <x:f>'Předpoklady'!D24</x:f>
        <x:v>7</x:v>
      </x:c>
      <x:c r="S27" s="228" t="n">
        <x:f>'Předpoklady'!D24</x:f>
        <x:v>7</x:v>
      </x:c>
    </x:row>
    <x:row r="28">
      <x:c r="A28" s="227" t="str">
        <x:v>Škola – celkový roční dopad</x:v>
      </x:c>
      <x:c r="B28" s="228" t="n">
        <x:f>'Worst case'!B39</x:f>
        <x:v>70.5</x:v>
      </x:c>
      <x:c r="C28" s="228" t="n">
        <x:f>'Worst case'!C39</x:f>
        <x:v>6.9</x:v>
      </x:c>
      <x:c r="D28" s="228" t="n">
        <x:f>'Worst case'!D39</x:f>
        <x:v>9.7</x:v>
      </x:c>
      <x:c r="E28" s="228" t="n">
        <x:f>'Worst case'!E39</x:f>
        <x:v>15.282315919859801</x:v>
      </x:c>
      <x:c r="F28" s="228" t="n">
        <x:f>'Worst case'!F39</x:f>
        <x:v>14.837141919859803</x:v>
      </x:c>
      <x:c r="G28" s="228" t="n">
        <x:f>'Worst case'!G39</x:f>
        <x:v>13.544306959859803</x:v>
      </x:c>
      <x:c r="H28" s="228" t="n">
        <x:f>'Worst case'!H39</x:f>
        <x:v>13.406796601459803</x:v>
      </x:c>
      <x:c r="I28" s="228" t="n">
        <x:f>'Worst case'!I39</x:f>
        <x:v>13.789565828723802</x:v>
      </x:c>
      <x:c r="J28" s="228" t="n">
        <x:f>'Worst case'!J39</x:f>
        <x:v>14.185989825078362</x:v>
      </x:c>
      <x:c r="K28" s="228" t="n">
        <x:f>'Worst case'!K39</x:f>
        <x:v>14.596614781287105</x:v>
      </x:c>
      <x:c r="L28" s="228" t="n">
        <x:f>'Worst case'!L39</x:f>
        <x:v>15.022008735744198</x:v>
      </x:c>
      <x:c r="M28" s="228" t="n">
        <x:f>'Worst case'!M39</x:f>
        <x:v>15.462762448379575</x:v>
      </x:c>
      <x:c r="N28" s="228" t="n">
        <x:f>'Worst case'!N39</x:f>
        <x:v>15.91949030952037</x:v>
      </x:c>
      <x:c r="O28" s="228" t="n">
        <x:f>'Worst case'!O39</x:f>
        <x:v>16.39283128510679</x:v>
      </x:c>
      <x:c r="P28" s="228" t="n">
        <x:f>'Worst case'!P39</x:f>
        <x:v>16.88344989971667</x:v>
      </x:c>
      <x:c r="Q28" s="228" t="n">
        <x:f>'Worst case'!Q39</x:f>
        <x:v>17.350637258910947</x:v>
      </x:c>
      <x:c r="R28" s="228" t="n">
        <x:f>'Worst case'!R39</x:f>
        <x:v>17.83651211247299</x:v>
      </x:c>
      <x:c r="S28" s="228" t="n">
        <x:f>'Worst case'!S39</x:f>
        <x:v>18.34182196017752</x:v>
      </x:c>
    </x:row>
    <x:row r="29">
      <x:c r="A29" s="227" t="str">
        <x:v>Další nové opakované závazky (SNS + max. Securitas)</x:v>
      </x:c>
      <x:c r="B29" s="228" t="n">
        <x:v>0</x:v>
      </x:c>
      <x:c r="C29" s="228" t="n">
        <x:f>'Předpoklady'!D25</x:f>
        <x:v>0.72</x:v>
      </x:c>
      <x:c r="D29" s="228" t="n">
        <x:f>'Předpoklady'!D25</x:f>
        <x:v>0.72</x:v>
      </x:c>
      <x:c r="E29" s="228" t="n">
        <x:f>'Předpoklady'!D25</x:f>
        <x:v>0.72</x:v>
      </x:c>
      <x:c r="F29" s="228" t="n">
        <x:f>'Předpoklady'!D25</x:f>
        <x:v>0.72</x:v>
      </x:c>
      <x:c r="G29" s="228" t="n">
        <x:f>'Předpoklady'!D25</x:f>
        <x:v>0.72</x:v>
      </x:c>
      <x:c r="H29" s="228" t="n">
        <x:f>'Předpoklady'!D25</x:f>
        <x:v>0.72</x:v>
      </x:c>
      <x:c r="I29" s="228" t="n">
        <x:f>'Předpoklady'!D25</x:f>
        <x:v>0.72</x:v>
      </x:c>
      <x:c r="J29" s="228" t="n">
        <x:f>'Předpoklady'!D25</x:f>
        <x:v>0.72</x:v>
      </x:c>
      <x:c r="K29" s="228" t="n">
        <x:f>'Předpoklady'!D25</x:f>
        <x:v>0.72</x:v>
      </x:c>
      <x:c r="L29" s="228" t="n">
        <x:f>'Předpoklady'!D25</x:f>
        <x:v>0.72</x:v>
      </x:c>
      <x:c r="M29" s="228" t="n">
        <x:f>'Předpoklady'!D25</x:f>
        <x:v>0.72</x:v>
      </x:c>
      <x:c r="N29" s="228" t="n">
        <x:f>'Předpoklady'!D25</x:f>
        <x:v>0.72</x:v>
      </x:c>
      <x:c r="O29" s="228" t="n">
        <x:f>'Předpoklady'!D25</x:f>
        <x:v>0.72</x:v>
      </x:c>
      <x:c r="P29" s="228" t="n">
        <x:f>'Předpoklady'!D25</x:f>
        <x:v>0.72</x:v>
      </x:c>
      <x:c r="Q29" s="228" t="n">
        <x:f>'Předpoklady'!D25</x:f>
        <x:v>0.72</x:v>
      </x:c>
      <x:c r="R29" s="228" t="n">
        <x:f>'Předpoklady'!D25</x:f>
        <x:v>0.72</x:v>
      </x:c>
      <x:c r="S29" s="228" t="n">
        <x:f>'Předpoklady'!D25</x:f>
        <x:v>0.72</x:v>
      </x:c>
    </x:row>
    <x:row r="30">
      <x:c r="A30" s="227" t="str">
        <x:v>Technické služby (DEMO časování)</x:v>
      </x:c>
      <x:c r="B30" s="228" t="n">
        <x:v>0</x:v>
      </x:c>
      <x:c r="C30" s="228" t="n">
        <x:f>'Předpoklady'!D26/2</x:f>
        <x:v>7.5</x:v>
      </x:c>
      <x:c r="D30" s="228" t="n">
        <x:f>'Předpoklady'!D26/2</x:f>
        <x:v>7.5</x:v>
      </x:c>
      <x:c r="E30" s="228" t="n">
        <x:v>0</x:v>
      </x:c>
      <x:c r="F30" s="228" t="n">
        <x:v>0</x:v>
      </x:c>
      <x:c r="G30" s="228" t="n">
        <x:v>0</x:v>
      </x:c>
      <x:c r="H30" s="228" t="n">
        <x:v>0</x:v>
      </x:c>
      <x:c r="I30" s="228" t="n">
        <x:v>0</x:v>
      </x:c>
      <x:c r="J30" s="228" t="n">
        <x:v>0</x:v>
      </x:c>
      <x:c r="K30" s="228" t="n">
        <x:v>0</x:v>
      </x:c>
      <x:c r="L30" s="228" t="n">
        <x:v>0</x:v>
      </x:c>
      <x:c r="M30" s="228" t="n">
        <x:v>0</x:v>
      </x:c>
      <x:c r="N30" s="228" t="n">
        <x:v>0</x:v>
      </x:c>
      <x:c r="O30" s="228" t="n">
        <x:v>0</x:v>
      </x:c>
      <x:c r="P30" s="228" t="n">
        <x:v>0</x:v>
      </x:c>
      <x:c r="Q30" s="228" t="n">
        <x:v>0</x:v>
      </x:c>
      <x:c r="R30" s="228" t="n">
        <x:v>0</x:v>
      </x:c>
      <x:c r="S30" s="228" t="n">
        <x:v>0</x:v>
      </x:c>
    </x:row>
    <x:row r="31">
      <x:c r="A31" s="227" t="str">
        <x:v>Hřiště – spoluúčast</x:v>
      </x:c>
      <x:c r="B31" s="228" t="n">
        <x:v>0</x:v>
      </x:c>
      <x:c r="C31" s="228" t="n">
        <x:f>'Předpoklady'!D27</x:f>
        <x:v>1.75</x:v>
      </x:c>
      <x:c r="D31" s="228" t="n">
        <x:v>0</x:v>
      </x:c>
      <x:c r="E31" s="228" t="n">
        <x:v>0</x:v>
      </x:c>
      <x:c r="F31" s="228" t="n">
        <x:v>0</x:v>
      </x:c>
      <x:c r="G31" s="228" t="n">
        <x:v>0</x:v>
      </x:c>
      <x:c r="H31" s="228" t="n">
        <x:v>0</x:v>
      </x:c>
      <x:c r="I31" s="228" t="n">
        <x:v>0</x:v>
      </x:c>
      <x:c r="J31" s="228" t="n">
        <x:v>0</x:v>
      </x:c>
      <x:c r="K31" s="228" t="n">
        <x:v>0</x:v>
      </x:c>
      <x:c r="L31" s="228" t="n">
        <x:v>0</x:v>
      </x:c>
      <x:c r="M31" s="228" t="n">
        <x:v>0</x:v>
      </x:c>
      <x:c r="N31" s="228" t="n">
        <x:v>0</x:v>
      </x:c>
      <x:c r="O31" s="228" t="n">
        <x:v>0</x:v>
      </x:c>
      <x:c r="P31" s="228" t="n">
        <x:v>0</x:v>
      </x:c>
      <x:c r="Q31" s="228" t="n">
        <x:v>0</x:v>
      </x:c>
      <x:c r="R31" s="228" t="n">
        <x:v>0</x:v>
      </x:c>
      <x:c r="S31" s="228" t="n">
        <x:v>0</x:v>
      </x:c>
    </x:row>
    <x:row r="32">
      <x:c r="A32" s="229" t="str">
        <x:v>ZŮSTATEK PRO JINÉ INVESTICE</x:v>
      </x:c>
      <x:c r="B32" s="230" t="n">
        <x:f>B27-SUM(B28:B31)</x:f>
        <x:v>0</x:v>
      </x:c>
      <x:c r="C32" s="230" t="n">
        <x:f>C27-SUM(C28:C31)</x:f>
        <x:v>-9.870000000000001</x:v>
      </x:c>
      <x:c r="D32" s="230" t="n">
        <x:f>D27-SUM(D28:D31)</x:f>
        <x:v>-10.920000000000002</x:v>
      </x:c>
      <x:c r="E32" s="230" t="n">
        <x:f>E27-SUM(E28:E31)</x:f>
        <x:v>-9.0023159198598</x:v>
      </x:c>
      <x:c r="F32" s="230" t="n">
        <x:f>F27-SUM(F28:F31)</x:f>
        <x:v>-8.557141919859804</x:v>
      </x:c>
      <x:c r="G32" s="230" t="n">
        <x:f>G27-SUM(G28:G31)</x:f>
        <x:v>-7.264306959859804</x:v>
      </x:c>
      <x:c r="H32" s="230" t="n">
        <x:f>H27-SUM(H28:H31)</x:f>
        <x:v>-7.126796601459803</x:v>
      </x:c>
      <x:c r="I32" s="230" t="n">
        <x:f>I27-SUM(I28:I31)</x:f>
        <x:v>-7.509565828723803</x:v>
      </x:c>
      <x:c r="J32" s="230" t="n">
        <x:f>J27-SUM(J28:J31)</x:f>
        <x:v>-7.905989825078363</x:v>
      </x:c>
      <x:c r="K32" s="230" t="n">
        <x:f>K27-SUM(K28:K31)</x:f>
        <x:v>-8.316614781287106</x:v>
      </x:c>
      <x:c r="L32" s="230" t="n">
        <x:f>L27-SUM(L28:L31)</x:f>
        <x:v>-8.742008735744198</x:v>
      </x:c>
      <x:c r="M32" s="230" t="n">
        <x:f>M27-SUM(M28:M31)</x:f>
        <x:v>-9.182762448379574</x:v>
      </x:c>
      <x:c r="N32" s="230" t="n">
        <x:f>N27-SUM(N28:N31)</x:f>
        <x:v>-9.639490309520369</x:v>
      </x:c>
      <x:c r="O32" s="230" t="n">
        <x:f>O27-SUM(O28:O31)</x:f>
        <x:v>-10.11283128510679</x:v>
      </x:c>
      <x:c r="P32" s="230" t="n">
        <x:f>P27-SUM(P28:P31)</x:f>
        <x:v>-10.603449899716669</x:v>
      </x:c>
      <x:c r="Q32" s="230" t="n">
        <x:f>Q27-SUM(Q28:Q31)</x:f>
        <x:v>-11.070637258910946</x:v>
      </x:c>
      <x:c r="R32" s="230" t="n">
        <x:f>R27-SUM(R28:R31)</x:f>
        <x:v>-11.55651211247299</x:v>
      </x:c>
      <x:c r="S32" s="230" t="n">
        <x:f>S27-SUM(S28:S31)</x:f>
        <x:v>-12.061821960177518</x:v>
      </x:c>
    </x:row>
    <x:row r="33">
      <x:c r="A33" s="227" t="str">
        <x:v>Modelový dodatečný opakovaný příjem / úspora</x:v>
      </x:c>
      <x:c r="B33" s="228" t="n">
        <x:v>0</x:v>
      </x:c>
      <x:c r="C33" s="228" t="n">
        <x:f>'Předpoklady'!D28</x:f>
        <x:v>3</x:v>
      </x:c>
      <x:c r="D33" s="228" t="n">
        <x:f>'Předpoklady'!D28</x:f>
        <x:v>3</x:v>
      </x:c>
      <x:c r="E33" s="228" t="n">
        <x:f>'Předpoklady'!D28</x:f>
        <x:v>3</x:v>
      </x:c>
      <x:c r="F33" s="228" t="n">
        <x:f>'Předpoklady'!D28</x:f>
        <x:v>3</x:v>
      </x:c>
      <x:c r="G33" s="228" t="n">
        <x:f>'Předpoklady'!D28</x:f>
        <x:v>3</x:v>
      </x:c>
      <x:c r="H33" s="228" t="n">
        <x:f>'Předpoklady'!D28</x:f>
        <x:v>3</x:v>
      </x:c>
      <x:c r="I33" s="228" t="n">
        <x:f>'Předpoklady'!D28</x:f>
        <x:v>3</x:v>
      </x:c>
      <x:c r="J33" s="228" t="n">
        <x:f>'Předpoklady'!D28</x:f>
        <x:v>3</x:v>
      </x:c>
      <x:c r="K33" s="228" t="n">
        <x:f>'Předpoklady'!D28</x:f>
        <x:v>3</x:v>
      </x:c>
      <x:c r="L33" s="228" t="n">
        <x:f>'Předpoklady'!D28</x:f>
        <x:v>3</x:v>
      </x:c>
      <x:c r="M33" s="228" t="n">
        <x:f>'Předpoklady'!D28</x:f>
        <x:v>3</x:v>
      </x:c>
      <x:c r="N33" s="228" t="n">
        <x:f>'Předpoklady'!D28</x:f>
        <x:v>3</x:v>
      </x:c>
      <x:c r="O33" s="228" t="n">
        <x:f>'Předpoklady'!D28</x:f>
        <x:v>3</x:v>
      </x:c>
      <x:c r="P33" s="228" t="n">
        <x:f>'Předpoklady'!D28</x:f>
        <x:v>3</x:v>
      </x:c>
      <x:c r="Q33" s="228" t="n">
        <x:f>'Předpoklady'!D28</x:f>
        <x:v>3</x:v>
      </x:c>
      <x:c r="R33" s="228" t="n">
        <x:f>'Předpoklady'!D28</x:f>
        <x:v>3</x:v>
      </x:c>
      <x:c r="S33" s="228" t="n">
        <x:f>'Předpoklady'!D28</x:f>
        <x:v>3</x:v>
      </x:c>
    </x:row>
    <x:row r="34">
      <x:c r="A34" s="229" t="str">
        <x:v>ZŮSTATEK PO +3 mil. opakovaného příjmu</x:v>
      </x:c>
      <x:c r="B34" s="230" t="n">
        <x:f>B32+B33</x:f>
        <x:v>0</x:v>
      </x:c>
      <x:c r="C34" s="230" t="n">
        <x:f>C32+C33</x:f>
        <x:v>-6.870000000000001</x:v>
      </x:c>
      <x:c r="D34" s="230" t="n">
        <x:f>D32+D33</x:f>
        <x:v>-7.920000000000002</x:v>
      </x:c>
      <x:c r="E34" s="230" t="n">
        <x:f>E32+E33</x:f>
        <x:v>-6.0023159198598</x:v>
      </x:c>
      <x:c r="F34" s="230" t="n">
        <x:f>F32+F33</x:f>
        <x:v>-5.557141919859804</x:v>
      </x:c>
      <x:c r="G34" s="230" t="n">
        <x:f>G32+G33</x:f>
        <x:v>-4.264306959859804</x:v>
      </x:c>
      <x:c r="H34" s="230" t="n">
        <x:f>H32+H33</x:f>
        <x:v>-4.126796601459803</x:v>
      </x:c>
      <x:c r="I34" s="230" t="n">
        <x:f>I32+I33</x:f>
        <x:v>-4.509565828723803</x:v>
      </x:c>
      <x:c r="J34" s="230" t="n">
        <x:f>J32+J33</x:f>
        <x:v>-4.905989825078363</x:v>
      </x:c>
      <x:c r="K34" s="230" t="n">
        <x:f>K32+K33</x:f>
        <x:v>-5.316614781287106</x:v>
      </x:c>
      <x:c r="L34" s="230" t="n">
        <x:f>L32+L33</x:f>
        <x:v>-5.742008735744198</x:v>
      </x:c>
      <x:c r="M34" s="230" t="n">
        <x:f>M32+M33</x:f>
        <x:v>-6.182762448379574</x:v>
      </x:c>
      <x:c r="N34" s="230" t="n">
        <x:f>N32+N33</x:f>
        <x:v>-6.639490309520369</x:v>
      </x:c>
      <x:c r="O34" s="230" t="n">
        <x:f>O32+O33</x:f>
        <x:v>-7.11283128510679</x:v>
      </x:c>
      <x:c r="P34" s="230" t="n">
        <x:f>P32+P33</x:f>
        <x:v>-7.603449899716669</x:v>
      </x:c>
      <x:c r="Q34" s="230" t="n">
        <x:f>Q32+Q33</x:f>
        <x:v>-8.070637258910946</x:v>
      </x:c>
      <x:c r="R34" s="230" t="n">
        <x:f>R32+R33</x:f>
        <x:v>-8.55651211247299</x:v>
      </x:c>
      <x:c r="S34" s="230" t="n">
        <x:f>S32+S33</x:f>
        <x:v>-9.061821960177518</x:v>
      </x:c>
    </x:row>
    <x:row r="35">
      <x:c r="A35" s="227" t="str">
        <x:v>Nutný další příjem / úspora pro nezáporný zůstatek</x:v>
      </x:c>
      <x:c r="B35" s="228" t="n">
        <x:f>MAX(0,-B32)</x:f>
        <x:v>0</x:v>
      </x:c>
      <x:c r="C35" s="228" t="n">
        <x:f>MAX(0,-C32)</x:f>
        <x:v>9.870000000000001</x:v>
      </x:c>
      <x:c r="D35" s="228" t="n">
        <x:f>MAX(0,-D32)</x:f>
        <x:v>10.920000000000002</x:v>
      </x:c>
      <x:c r="E35" s="228" t="n">
        <x:f>MAX(0,-E32)</x:f>
        <x:v>9.0023159198598</x:v>
      </x:c>
      <x:c r="F35" s="228" t="n">
        <x:f>MAX(0,-F32)</x:f>
        <x:v>8.557141919859804</x:v>
      </x:c>
      <x:c r="G35" s="228" t="n">
        <x:f>MAX(0,-G32)</x:f>
        <x:v>7.264306959859804</x:v>
      </x:c>
      <x:c r="H35" s="228" t="n">
        <x:f>MAX(0,-H32)</x:f>
        <x:v>7.126796601459803</x:v>
      </x:c>
      <x:c r="I35" s="228" t="n">
        <x:f>MAX(0,-I32)</x:f>
        <x:v>7.509565828723803</x:v>
      </x:c>
      <x:c r="J35" s="228" t="n">
        <x:f>MAX(0,-J32)</x:f>
        <x:v>7.905989825078363</x:v>
      </x:c>
      <x:c r="K35" s="228" t="n">
        <x:f>MAX(0,-K32)</x:f>
        <x:v>8.316614781287106</x:v>
      </x:c>
      <x:c r="L35" s="228" t="n">
        <x:f>MAX(0,-L32)</x:f>
        <x:v>8.742008735744198</x:v>
      </x:c>
      <x:c r="M35" s="228" t="n">
        <x:f>MAX(0,-M32)</x:f>
        <x:v>9.182762448379574</x:v>
      </x:c>
      <x:c r="N35" s="228" t="n">
        <x:f>MAX(0,-N32)</x:f>
        <x:v>9.639490309520369</x:v>
      </x:c>
      <x:c r="O35" s="228" t="n">
        <x:f>MAX(0,-O32)</x:f>
        <x:v>10.11283128510679</x:v>
      </x:c>
      <x:c r="P35" s="228" t="n">
        <x:f>MAX(0,-P32)</x:f>
        <x:v>10.603449899716669</x:v>
      </x:c>
      <x:c r="Q35" s="228" t="n">
        <x:f>MAX(0,-Q32)</x:f>
        <x:v>11.070637258910946</x:v>
      </x:c>
      <x:c r="R35" s="228" t="n">
        <x:f>MAX(0,-R32)</x:f>
        <x:v>11.55651211247299</x:v>
      </x:c>
      <x:c r="S35" s="228" t="n">
        <x:f>MAX(0,-S32)</x:f>
        <x:v>12.061821960177518</x:v>
      </x:c>
    </x:row>
    <x:row r="36">
      <x:c r="A36" s="229" t="str">
        <x:v>Nutný trvalý příjem / úspora pro zachování 7 mil. na jiné investice</x:v>
      </x:c>
      <x:c r="B36" s="230" t="n">
        <x:v>0</x:v>
      </x:c>
      <x:c r="C36" s="230" t="n">
        <x:f>MAX(0,7-C32)</x:f>
        <x:v>16.87</x:v>
      </x:c>
      <x:c r="D36" s="230" t="n">
        <x:f>MAX(0,7-D32)</x:f>
        <x:v>17.92</x:v>
      </x:c>
      <x:c r="E36" s="230" t="n">
        <x:f>MAX(0,7-E32)</x:f>
        <x:v>16.0023159198598</x:v>
      </x:c>
      <x:c r="F36" s="230" t="n">
        <x:f>MAX(0,7-F32)</x:f>
        <x:v>15.557141919859804</x:v>
      </x:c>
      <x:c r="G36" s="230" t="n">
        <x:f>MAX(0,7-G32)</x:f>
        <x:v>14.264306959859804</x:v>
      </x:c>
      <x:c r="H36" s="230" t="n">
        <x:f>MAX(0,7-H32)</x:f>
        <x:v>14.126796601459803</x:v>
      </x:c>
      <x:c r="I36" s="230" t="n">
        <x:f>MAX(0,7-I32)</x:f>
        <x:v>14.509565828723803</x:v>
      </x:c>
      <x:c r="J36" s="230" t="n">
        <x:f>MAX(0,7-J32)</x:f>
        <x:v>14.905989825078363</x:v>
      </x:c>
      <x:c r="K36" s="230" t="n">
        <x:f>MAX(0,7-K32)</x:f>
        <x:v>15.316614781287106</x:v>
      </x:c>
      <x:c r="L36" s="230" t="n">
        <x:f>MAX(0,7-L32)</x:f>
        <x:v>15.742008735744198</x:v>
      </x:c>
      <x:c r="M36" s="230" t="n">
        <x:f>MAX(0,7-M32)</x:f>
        <x:v>16.182762448379574</x:v>
      </x:c>
      <x:c r="N36" s="230" t="n">
        <x:f>MAX(0,7-N32)</x:f>
        <x:v>16.63949030952037</x:v>
      </x:c>
      <x:c r="O36" s="230" t="n">
        <x:f>MAX(0,7-O32)</x:f>
        <x:v>17.11283128510679</x:v>
      </x:c>
      <x:c r="P36" s="230" t="n">
        <x:f>MAX(0,7-P32)</x:f>
        <x:v>17.60344989971667</x:v>
      </x:c>
      <x:c r="Q36" s="230" t="n">
        <x:f>MAX(0,7-Q32)</x:f>
        <x:v>18.070637258910946</x:v>
      </x:c>
      <x:c r="R36" s="230" t="n">
        <x:f>MAX(0,7-R32)</x:f>
        <x:v>18.55651211247299</x:v>
      </x:c>
      <x:c r="S36" s="230" t="n">
        <x:f>MAX(0,7-S32)</x:f>
        <x:v>19.061821960177518</x:v>
      </x:c>
    </x:row>
    <x:row r="37">
      <x:c r="B37" s="72"/>
      <x:c r="C37" s="72"/>
      <x:c r="D37" s="72"/>
      <x:c r="E37" s="72"/>
      <x:c r="F37" s="72"/>
      <x:c r="G37" s="72"/>
      <x:c r="H37" s="72"/>
      <x:c r="I37" s="72"/>
      <x:c r="J37" s="72"/>
      <x:c r="K37" s="72"/>
      <x:c r="L37" s="72"/>
      <x:c r="M37" s="72"/>
      <x:c r="N37" s="72"/>
      <x:c r="O37" s="72"/>
      <x:c r="P37" s="72"/>
      <x:c r="Q37" s="72"/>
      <x:c r="R37" s="72"/>
      <x:c r="S37" s="228"/>
    </x:row>
    <x:row r="38">
      <x:c r="A38" s="112"/>
      <x:c r="B38" s="119"/>
      <x:c r="C38" s="119"/>
      <x:c r="D38" s="119"/>
      <x:c r="E38" s="119"/>
      <x:c r="F38" s="119"/>
      <x:c r="G38" s="119"/>
      <x:c r="H38" s="119"/>
      <x:c r="I38" s="119"/>
      <x:c r="J38" s="119"/>
      <x:c r="K38" s="119"/>
      <x:c r="L38" s="119"/>
      <x:c r="M38" s="119"/>
      <x:c r="N38" s="119"/>
      <x:c r="O38" s="119"/>
      <x:c r="P38" s="119"/>
      <x:c r="Q38" s="119"/>
      <x:c r="R38" s="119"/>
      <x:c r="S38" s="248"/>
    </x:row>
    <x:row r="39">
      <x:c r="A39" s="112" t="str">
        <x:v>Pozn.: „Výchozí investiční kapacita“ je zjednodušeně 7 mil. Kč ročně podle podkladu obce (2027 6,94 mil., 2028 7,744 mil.). Zůstatek je proto ilustrace strukturálního prostoru pro jiné projekty, nikoli účetní saldo rozpočtu. Technické služby 15 mil. Kč a jejich časování 2027–2028 jsou pracovní/modelový vstup, který je nutné nahradit skutečným rozpočtem a harmonogramem. Řádek +3 mil. ukazuje citlivost na trvalé zvýšení příjmů nebo snížení běžných výdajů.</x:v>
      </x:c>
      <x:c r="B39" s="119"/>
      <x:c r="C39" s="119"/>
      <x:c r="D39" s="119"/>
      <x:c r="E39" s="119"/>
      <x:c r="F39" s="119"/>
      <x:c r="G39" s="119"/>
      <x:c r="H39" s="119"/>
      <x:c r="I39" s="119"/>
      <x:c r="J39" s="119"/>
      <x:c r="K39" s="119"/>
      <x:c r="L39" s="119"/>
      <x:c r="M39" s="119"/>
      <x:c r="N39" s="119"/>
      <x:c r="O39" s="119"/>
      <x:c r="P39" s="119"/>
      <x:c r="Q39" s="119"/>
      <x:c r="R39" s="119"/>
      <x:c r="S39" s="119"/>
    </x:row>
    <x:row r="40">
      <x:c r="A40" s="112"/>
      <x:c r="B40" s="119"/>
      <x:c r="C40" s="119"/>
      <x:c r="D40" s="119"/>
      <x:c r="E40" s="119"/>
      <x:c r="F40" s="119"/>
      <x:c r="G40" s="119"/>
      <x:c r="H40" s="119"/>
      <x:c r="I40" s="119"/>
      <x:c r="J40" s="119"/>
      <x:c r="K40" s="119"/>
      <x:c r="L40" s="119"/>
      <x:c r="M40" s="119"/>
      <x:c r="N40" s="119"/>
      <x:c r="O40" s="119"/>
      <x:c r="P40" s="119"/>
      <x:c r="Q40" s="119"/>
      <x:c r="R40" s="119"/>
      <x:c r="S40" s="119"/>
    </x:row>
    <x:row r="41">
      <x:c r="A41" s="112"/>
      <x:c r="B41" s="112"/>
      <x:c r="C41" s="112"/>
      <x:c r="D41" s="112"/>
      <x:c r="E41" s="112"/>
      <x:c r="F41" s="112"/>
      <x:c r="G41" s="112"/>
      <x:c r="H41" s="112"/>
      <x:c r="I41" s="112"/>
      <x:c r="J41" s="112"/>
      <x:c r="K41" s="112"/>
      <x:c r="L41" s="112"/>
      <x:c r="M41" s="112"/>
      <x:c r="N41" s="112"/>
      <x:c r="O41" s="112"/>
      <x:c r="P41" s="112"/>
      <x:c r="Q41" s="112"/>
      <x:c r="R41" s="112"/>
      <x:c r="S41" s="112"/>
    </x:row>
  </x:sheetData>
  <x:mergeCells>
    <x:mergeCell ref="A1:S1"/>
    <x:mergeCell ref="A4:S4"/>
    <x:mergeCell ref="A15:S15"/>
    <x:mergeCell ref="A26:S26"/>
    <x:mergeCell ref="A39:S41"/>
  </x:mergeCells>
  <x:conditionalFormatting sqref="B10:S12">
    <x:cfRule type="expression" dxfId="3" priority="1">
      <x:formula>B10&lt;0</x:formula>
    </x:cfRule>
  </x:conditionalFormatting>
  <x:conditionalFormatting sqref="B21:S23">
    <x:cfRule type="expression" dxfId="4" priority="2">
      <x:formula>B21&lt;0</x:formula>
    </x:cfRule>
  </x:conditionalFormatting>
  <x:conditionalFormatting sqref="B32:S34">
    <x:cfRule type="expression" dxfId="5" priority="3">
      <x:formula>B32&lt;0</x:formula>
    </x:cfRule>
  </x:conditionalFormatting>
  <x:pageMargins left="0.7" right="0.7" top="0.75" bottom="0.75" header="0.3" footer="0.3"/>
</x:worksheet>
</file>

<file path=xl/worksheets/sheet8.xml><?xml version="1.0" encoding="utf-8"?>
<x:worksheet xmlns:x="http://schemas.openxmlformats.org/spreadsheetml/2006/main">
  <x:sheetFormatPr defaultRowHeight="15"/>
  <x:cols>
    <x:col min="1" max="1" width="39" hidden="0" customWidth="1"/>
    <x:col min="2" max="2" width="15" hidden="0" customWidth="1"/>
    <x:col min="3" max="3" width="15" hidden="0" customWidth="1"/>
    <x:col min="4" max="4" width="15" hidden="0" customWidth="1"/>
    <x:col min="6" max="6" width="18" hidden="0" customWidth="1"/>
    <x:col min="7" max="7" width="18" hidden="0" customWidth="1"/>
    <x:col min="8" max="8" width="18" hidden="0" customWidth="1"/>
    <x:col min="10" max="10" width="13" hidden="0" customWidth="1"/>
    <x:col min="11" max="11" width="18" hidden="0" customWidth="1"/>
  </x:cols>
  <x:sheetData>
    <x:row r="1" ht="30" customHeight="1">
      <x:c r="A1" s="3" t="str">
        <x:v>Souhrn tří scénářů – II. stupeň ZŠ Libiš</x:v>
      </x:c>
      <x:c r="B1" s="3"/>
      <x:c r="C1" s="3"/>
      <x:c r="D1" s="3"/>
      <x:c r="E1" s="3"/>
      <x:c r="F1" s="3"/>
      <x:c r="G1" s="3"/>
      <x:c r="H1" s="3"/>
    </x:row>
    <x:row r="3">
      <x:c r="A3" s="171" t="str">
        <x:v>Ukazatel</x:v>
      </x:c>
      <x:c r="B3" s="179" t="str">
        <x:v>BEST</x:v>
      </x:c>
      <x:c r="C3" s="183" t="str">
        <x:v>NORMAL</x:v>
      </x:c>
      <x:c r="D3" s="187" t="str">
        <x:v>WORST</x:v>
      </x:c>
      <x:c r="F3" s="201" t="str">
        <x:v>Co je na modelu zásadní:
• BEST předpokládá plné dotace 30 mil. Kč. NORMAL i WORST počítají bez dotací.
• NORMAL používá benchmark údržby 1 % pořizovací ceny budovy ročně; WORST 1,5 %.
• Demografie není automaticky 150 žáků: BEST 100% návštěvnost, NORMAL 80 %, WORST 69 % (současný index 1. třídy).
• RUD je záměrně modelováno konzervativně 20 tis. Kč/žák podle podkladu obce.
• Zůstatek na jiné investice zahrnuje také modelované technické služby 15 mil., hřiště 1,75 mil. a další nové pravidelné závazky.
• WORST v modelu zůstává bez dodatečných příjmů / úspor v záporné investiční kapacitě po celý horizont 2029–2043.</x:v>
      </x:c>
      <x:c r="G3" s="201"/>
      <x:c r="H3" s="201"/>
      <x:c r="J3" s="28" t="str">
        <x:v>Scénář</x:v>
      </x:c>
      <x:c r="K3" s="28" t="str">
        <x:v>Celkový čistý dopad do 2043</x:v>
      </x:c>
    </x:row>
    <x:row r="4">
      <x:c r="A4" s="167" t="str">
        <x:v>Cena stavby po rezervě</x:v>
      </x:c>
      <x:c r="B4" s="180" t="n">
        <x:f>'Best case'!B44</x:f>
        <x:v>145.2</x:v>
      </x:c>
      <x:c r="C4" s="184" t="n">
        <x:f>'Normal case'!B44</x:f>
        <x:v>145.2</x:v>
      </x:c>
      <x:c r="D4" s="188" t="n">
        <x:f>'Worst case'!B44</x:f>
        <x:v>152.46</x:v>
      </x:c>
      <x:c r="F4" s="201"/>
      <x:c r="G4" s="201"/>
      <x:c r="H4" s="201"/>
      <x:c r="J4" t="str">
        <x:v>BEST</x:v>
      </x:c>
      <x:c r="K4" s="72" t="n">
        <x:f>B14</x:f>
        <x:v>152.88038846616882</x:v>
      </x:c>
    </x:row>
    <x:row r="5">
      <x:c r="A5" s="167" t="str">
        <x:v>Dotace</x:v>
      </x:c>
      <x:c r="B5" s="180" t="n">
        <x:f>'Best case'!B45</x:f>
        <x:v>30</x:v>
      </x:c>
      <x:c r="C5" s="184" t="n">
        <x:f>'Normal case'!B45</x:f>
        <x:v>0</x:v>
      </x:c>
      <x:c r="D5" s="188" t="n">
        <x:f>'Worst case'!B45</x:f>
        <x:v>0</x:v>
      </x:c>
      <x:c r="F5" s="201"/>
      <x:c r="G5" s="201"/>
      <x:c r="H5" s="201"/>
      <x:c r="J5" t="str">
        <x:v>NORMAL</x:v>
      </x:c>
      <x:c r="K5" s="72" t="n">
        <x:f>C14</x:f>
        <x:v>244.46031451667523</x:v>
      </x:c>
    </x:row>
    <x:row r="6">
      <x:c r="A6" s="167" t="str">
        <x:v>Úvěr – jistina</x:v>
      </x:c>
      <x:c r="B6" s="180" t="n">
        <x:f>'Best case'!B46</x:f>
        <x:v>30.099999999999994</x:v>
      </x:c>
      <x:c r="C6" s="184" t="n">
        <x:f>'Normal case'!B46</x:f>
        <x:v>60.099999999999994</x:v>
      </x:c>
      <x:c r="D6" s="188" t="n">
        <x:f>'Worst case'!B46</x:f>
        <x:v>67.36000000000001</x:v>
      </x:c>
      <x:c r="F6" s="201"/>
      <x:c r="G6" s="201"/>
      <x:c r="H6" s="201"/>
      <x:c r="J6" t="str">
        <x:v>WORST</x:v>
      </x:c>
      <x:c r="K6" s="72" t="n">
        <x:f>D14</x:f>
        <x:v>319.95224584615755</x:v>
      </x:c>
    </x:row>
    <x:row r="7">
      <x:c r="A7" s="167" t="str">
        <x:v>Roční splátka úvěru</x:v>
      </x:c>
      <x:c r="B7" s="180" t="n">
        <x:f>'Best case'!B47</x:f>
        <x:v>2.899902857038255</x:v>
      </x:c>
      <x:c r="C7" s="184" t="n">
        <x:f>'Normal case'!B47</x:f>
        <x:v>6.1880621137142935</x:v>
      </x:c>
      <x:c r="D7" s="188" t="n">
        <x:f>'Worst case'!B47</x:f>
        <x:v>7.395765919859801</x:v>
      </x:c>
      <x:c r="F7" s="201"/>
      <x:c r="G7" s="201"/>
      <x:c r="H7" s="201"/>
    </x:row>
    <x:row r="8">
      <x:c r="A8" s="167" t="str">
        <x:v>Celkové úroky</x:v>
      </x:c>
      <x:c r="B8" s="180" t="n">
        <x:f>'Best case'!B48</x:f>
        <x:v>13.398542855573837</x:v>
      </x:c>
      <x:c r="C8" s="184" t="n">
        <x:f>'Normal case'!B48</x:f>
        <x:v>32.72093170571439</x:v>
      </x:c>
      <x:c r="D8" s="188" t="n">
        <x:f>'Worst case'!B48</x:f>
        <x:v>43.57648879789702</x:v>
      </x:c>
      <x:c r="F8" s="201"/>
      <x:c r="G8" s="201"/>
      <x:c r="H8" s="201"/>
    </x:row>
    <x:row r="9">
      <x:c r="A9" s="167" t="str">
        <x:v>Vybavení</x:v>
      </x:c>
      <x:c r="B9" s="180" t="n">
        <x:f>'Best case'!B50</x:f>
        <x:v>2</x:v>
      </x:c>
      <x:c r="C9" s="184" t="n">
        <x:f>'Normal case'!B50</x:f>
        <x:v>3</x:v>
      </x:c>
      <x:c r="D9" s="188" t="n">
        <x:f>'Worst case'!B50</x:f>
        <x:v>4</x:v>
      </x:c>
      <x:c r="F9" s="201"/>
      <x:c r="G9" s="201"/>
      <x:c r="H9" s="201"/>
    </x:row>
    <x:row r="10">
      <x:c r="A10" s="167" t="str">
        <x:v>Čistý investiční náklad</x:v>
      </x:c>
      <x:c r="B10" s="180" t="n">
        <x:f>'Best case'!B51</x:f>
        <x:v>130.59854285557384</x:v>
      </x:c>
      <x:c r="C10" s="184" t="n">
        <x:f>'Normal case'!B51</x:f>
        <x:v>180.9209317057144</x:v>
      </x:c>
      <x:c r="D10" s="188" t="n">
        <x:f>'Worst case'!B51</x:f>
        <x:v>200.03648879789702</x:v>
      </x:c>
      <x:c r="F10" s="201"/>
      <x:c r="G10" s="201"/>
      <x:c r="H10" s="201"/>
    </x:row>
    <x:row r="11">
      <x:c r="A11" s="167" t="str">
        <x:v>Hrubý provoz 2029–2043</x:v>
      </x:c>
      <x:c r="B11" s="180" t="n">
        <x:f>'Best case'!B52</x:f>
        <x:v>71.18662139387234</x:v>
      </x:c>
      <x:c r="C11" s="184" t="n">
        <x:f>'Normal case'!B52</x:f>
        <x:v>102.88919162118098</x:v>
      </x:c>
      <x:c r="D11" s="188" t="n">
        <x:f>'Worst case'!B52</x:f>
        <x:v>151.9169570482605</x:v>
      </x:c>
      <x:c r="F11" s="201"/>
      <x:c r="G11" s="201"/>
      <x:c r="H11" s="201"/>
    </x:row>
    <x:row r="12">
      <x:c r="A12" s="167" t="str">
        <x:v>RUD + úspora Neratovice</x:v>
      </x:c>
      <x:c r="B12" s="180" t="n">
        <x:f>'Best case'!B53</x:f>
        <x:v>48.90477578327737</x:v>
      </x:c>
      <x:c r="C12" s="184" t="n">
        <x:f>'Normal case'!B53</x:f>
        <x:v>39.34980881022014</x:v>
      </x:c>
      <x:c r="D12" s="188" t="n">
        <x:f>'Worst case'!B53</x:f>
        <x:v>32.00120000000001</x:v>
      </x:c>
      <x:c r="F12" s="201"/>
      <x:c r="G12" s="201"/>
      <x:c r="H12" s="201"/>
    </x:row>
    <x:row r="13">
      <x:c r="A13" s="167" t="str">
        <x:v>Čistý provoz 2029–2043</x:v>
      </x:c>
      <x:c r="B13" s="180" t="n">
        <x:f>'Best case'!B54</x:f>
        <x:v>22.281845610595</x:v>
      </x:c>
      <x:c r="C13" s="184" t="n">
        <x:f>'Normal case'!B54</x:f>
        <x:v>63.539382810960845</x:v>
      </x:c>
      <x:c r="D13" s="188" t="n">
        <x:f>'Worst case'!B54</x:f>
        <x:v>119.9157570482605</x:v>
      </x:c>
      <x:c r="F13" s="201"/>
      <x:c r="G13" s="201"/>
      <x:c r="H13" s="201"/>
    </x:row>
    <x:row r="14">
      <x:c r="A14" s="191" t="str">
        <x:v>CELKOVÝ ČISTÝ DOPAD do 2043</x:v>
      </x:c>
      <x:c r="B14" s="192" t="n">
        <x:f>'Best case'!B55</x:f>
        <x:v>152.88038846616882</x:v>
      </x:c>
      <x:c r="C14" s="193" t="n">
        <x:f>'Normal case'!B55</x:f>
        <x:v>244.46031451667523</x:v>
      </x:c>
      <x:c r="D14" s="194" t="n">
        <x:f>'Worst case'!B55</x:f>
        <x:v>319.95224584615755</x:v>
      </x:c>
      <x:c r="F14" s="201"/>
      <x:c r="G14" s="201"/>
      <x:c r="H14" s="201"/>
    </x:row>
    <x:row r="17">
      <x:c r="A17" s="102" t="str">
        <x:v>Kolik zbývá na jiné investice?</x:v>
      </x:c>
      <x:c r="B17" s="102"/>
      <x:c r="C17" s="102"/>
      <x:c r="D17" s="102"/>
      <x:c r="E17" s="102"/>
      <x:c r="F17" s="102"/>
      <x:c r="G17" s="102"/>
      <x:c r="H17" s="102"/>
    </x:row>
    <x:row r="18">
      <x:c r="A18" s="171" t="str">
        <x:v>Ukazatel</x:v>
      </x:c>
      <x:c r="B18" s="171" t="str">
        <x:v>BEST</x:v>
      </x:c>
      <x:c r="C18" s="171" t="str">
        <x:v>NORMAL</x:v>
      </x:c>
      <x:c r="D18" s="171" t="str">
        <x:v>WORST</x:v>
      </x:c>
    </x:row>
    <x:row r="19">
      <x:c r="A19" t="str">
        <x:v>Nejnižší zůstatek 2029–2043 bez nových příjmů</x:v>
      </x:c>
      <x:c r="B19" s="72" t="n">
        <x:f>MIN('Kapacita obce'!E10:S10)</x:f>
        <x:v>-0.7213028570382551</x:v>
      </x:c>
      <x:c r="C19" s="72" t="n">
        <x:f>MIN('Kapacita obce'!E21:S21)</x:f>
        <x:v>-5.628062113714295</x:v>
      </x:c>
      <x:c r="D19" s="72" t="n">
        <x:f>MIN('Kapacita obce'!E32:S32)</x:f>
        <x:v>-12.061821960177518</x:v>
      </x:c>
    </x:row>
    <x:row r="20">
      <x:c r="A20" t="str">
        <x:v>Zůstatek v roce 2043 bez nových příjmů</x:v>
      </x:c>
      <x:c r="B20" s="72" t="n">
        <x:f>'Kapacita obce'!S10</x:f>
        <x:v>1.6513437940406304</x:v>
      </x:c>
      <x:c r="C20" s="72" t="n">
        <x:f>'Kapacita obce'!S21</x:f>
        <x:v>-5.374737468680369</x:v>
      </x:c>
      <x:c r="D20" s="72" t="n">
        <x:f>'Kapacita obce'!S32</x:f>
        <x:v>-12.061821960177518</x:v>
      </x:c>
    </x:row>
    <x:row r="21">
      <x:c r="A21" t="str">
        <x:v>Nejnižší zůstatek 2029–2043 po +3 mil. příjmu</x:v>
      </x:c>
      <x:c r="B21" s="72" t="n">
        <x:f>MIN('Kapacita obce'!E12:S12)</x:f>
        <x:v>2.278697142961745</x:v>
      </x:c>
      <x:c r="C21" s="72" t="n">
        <x:f>MIN('Kapacita obce'!E23:S23)</x:f>
        <x:v>-2.6280621137142948</x:v>
      </x:c>
      <x:c r="D21" s="72" t="n">
        <x:f>MIN('Kapacita obce'!E34:S34)</x:f>
        <x:v>-9.061821960177518</x:v>
      </x:c>
    </x:row>
    <x:row r="22">
      <x:c r="A22" t="str">
        <x:v>Zůstatek v roce 2043 po +3 mil. příjmu</x:v>
      </x:c>
      <x:c r="B22" s="72" t="n">
        <x:f>'Kapacita obce'!S12</x:f>
        <x:v>4.65134379404063</x:v>
      </x:c>
      <x:c r="C22" s="72" t="n">
        <x:f>'Kapacita obce'!S23</x:f>
        <x:v>-2.374737468680369</x:v>
      </x:c>
      <x:c r="D22" s="72" t="n">
        <x:f>'Kapacita obce'!S34</x:f>
        <x:v>-9.061821960177518</x:v>
      </x:c>
    </x:row>
    <x:row r="25">
      <x:c r="A25" s="28" t="str">
        <x:v>Rok</x:v>
      </x:c>
      <x:c r="B25" s="28" t="str">
        <x:v>BEST – zůstatek</x:v>
      </x:c>
      <x:c r="C25" s="28" t="str">
        <x:v>NORMAL – zůstatek</x:v>
      </x:c>
      <x:c r="D25" s="28" t="str">
        <x:v>WORST – zůstatek</x:v>
      </x:c>
    </x:row>
    <x:row r="26">
      <x:c r="A26" t="n">
        <x:v>2029</x:v>
      </x:c>
      <x:c r="B26" s="72" t="n">
        <x:f>'Kapacita obce'!E10</x:f>
        <x:v>-0.7213028570382551</x:v>
      </x:c>
      <x:c r="C26" s="72" t="n">
        <x:f>'Kapacita obce'!E21</x:f>
        <x:v>-5.628062113714295</x:v>
      </x:c>
      <x:c r="D26" s="72" t="n">
        <x:f>'Kapacita obce'!E32</x:f>
        <x:v>-9.0023159198598</x:v>
      </x:c>
    </x:row>
    <x:row r="27">
      <x:c r="A27" t="n">
        <x:v>2030</x:v>
      </x:c>
      <x:c r="B27" s="72" t="n">
        <x:f>'Kapacita obce'!F10</x:f>
        <x:v>1.2473691429617455</x:v>
      </x:c>
      <x:c r="C27" s="72" t="n">
        <x:f>'Kapacita obce'!F21</x:f>
        <x:v>-4.908022113714294</x:v>
      </x:c>
      <x:c r="D27" s="72" t="n">
        <x:f>'Kapacita obce'!F32</x:f>
        <x:v>-8.557141919859804</x:v>
      </x:c>
    </x:row>
    <x:row r="28">
      <x:c r="A28" t="n">
        <x:v>2031</x:v>
      </x:c>
      <x:c r="B28" s="72" t="n">
        <x:f>'Kapacita obce'!G10</x:f>
        <x:v>1.927476582961746</x:v>
      </x:c>
      <x:c r="C28" s="72" t="n">
        <x:f>'Kapacita obce'!G21</x:f>
        <x:v>-3.423644013714293</x:v>
      </x:c>
      <x:c r="D28" s="72" t="n">
        <x:f>'Kapacita obce'!G32</x:f>
        <x:v>-7.264306959859804</x:v>
      </x:c>
    </x:row>
    <x:row r="29">
      <x:c r="A29" t="n">
        <x:v>2032</x:v>
      </x:c>
      <x:c r="B29" s="72" t="n">
        <x:f>'Kapacita obce'!H10</x:f>
        <x:v>2.6040195717617456</x:v>
      </x:c>
      <x:c r="C29" s="72" t="n">
        <x:f>'Kapacita obce'!H21</x:f>
        <x:v>-3.0077849017142952</x:v>
      </x:c>
      <x:c r="D29" s="72" t="n">
        <x:f>'Kapacita obce'!H32</x:f>
        <x:v>-7.126796601459803</x:v>
      </x:c>
    </x:row>
    <x:row r="30">
      <x:c r="A30" t="n">
        <x:v>2033</x:v>
      </x:c>
      <x:c r="B30" s="72" t="n">
        <x:f>'Kapacita obce'!I10</x:f>
        <x:v>2.512832090737745</x:v>
      </x:c>
      <x:c r="C30" s="72" t="n">
        <x:f>'Kapacita obce'!I21</x:f>
        <x:v>-3.203940680424294</x:v>
      </x:c>
      <x:c r="D30" s="72" t="n">
        <x:f>'Kapacita obce'!I32</x:f>
        <x:v>-7.509565828723803</x:v>
      </x:c>
    </x:row>
    <x:row r="31">
      <x:c r="A31" t="n">
        <x:v>2034</x:v>
      </x:c>
      <x:c r="B31" s="72" t="n">
        <x:f>'Kapacita obce'!J10</x:f>
        <x:v>2.4185219415012646</x:v>
      </x:c>
      <x:c r="C31" s="72" t="n">
        <x:f>'Kapacita obce'!J21</x:f>
        <x:v>-3.406523212165194</x:v>
      </x:c>
      <x:c r="D31" s="72" t="n">
        <x:f>'Kapacita obce'!J32</x:f>
        <x:v>-7.905989825078363</x:v>
      </x:c>
    </x:row>
    <x:row r="32">
      <x:c r="A32" t="n">
        <x:v>2035</x:v>
      </x:c>
      <x:c r="B32" s="72" t="n">
        <x:f>'Kapacita obce'!K10</x:f>
        <x:v>2.3210006923162156</x:v>
      </x:c>
      <x:c r="C32" s="72" t="n">
        <x:f>'Kapacita obce'!K21</x:f>
        <x:v>-3.6157219679966204</x:v>
      </x:c>
      <x:c r="D32" s="72" t="n">
        <x:f>'Kapacita obce'!K32</x:f>
        <x:v>-8.316614781287106</x:v>
      </x:c>
    </x:row>
    <x:row r="33">
      <x:c r="A33" t="n">
        <x:v>2036</x:v>
      </x:c>
      <x:c r="B33" s="72" t="n">
        <x:f>'Kapacita obce'!L10</x:f>
        <x:v>2.220177623244349</x:v>
      </x:c>
      <x:c r="C33" s="72" t="n">
        <x:f>'Kapacita obce'!L21</x:f>
        <x:v>-3.8317318811961183</x:v>
      </x:c>
      <x:c r="D33" s="72" t="n">
        <x:f>'Kapacita obce'!L32</x:f>
        <x:v>-8.742008735744198</x:v>
      </x:c>
    </x:row>
    <x:row r="34">
      <x:c r="A34" t="n">
        <x:v>2037</x:v>
      </x:c>
      <x:c r="B34" s="72" t="n">
        <x:f>'Kapacita obce'!M10</x:f>
        <x:v>2.1159596699898646</x:v>
      </x:c>
      <x:c r="C34" s="72" t="n">
        <x:f>'Kapacita obce'!M21</x:f>
        <x:v>-4.0547535052178745</x:v>
      </x:c>
      <x:c r="D34" s="72" t="n">
        <x:f>'Kapacita obce'!M32</x:f>
        <x:v>-9.182762448379574</x:v>
      </x:c>
    </x:row>
    <x:row r="35">
      <x:c r="A35" t="n">
        <x:v>2038</x:v>
      </x:c>
      <x:c r="B35" s="72" t="n">
        <x:f>'Kapacita obce'!N10</x:f>
        <x:v>2.0082513664130888</x:v>
      </x:c>
      <x:c r="C35" s="72" t="n">
        <x:f>'Kapacita obce'!N21</x:f>
        <x:v>-4.284993176262896</x:v>
      </x:c>
      <x:c r="D35" s="72" t="n">
        <x:f>'Kapacita obce'!N32</x:f>
        <x:v>-9.639490309520369</x:v>
      </x:c>
    </x:row>
    <x:row r="36">
      <x:c r="A36" t="n">
        <x:v>2039</x:v>
      </x:c>
      <x:c r="B36" s="72" t="n">
        <x:f>'Kapacita obce'!O10</x:f>
        <x:v>1.8969547856824294</x:v>
      </x:c>
      <x:c r="C36" s="72" t="n">
        <x:f>'Kapacita obce'!O21</x:f>
        <x:v>-4.522663180596483</x:v>
      </x:c>
      <x:c r="D36" s="72" t="n">
        <x:f>'Kapacita obce'!O32</x:f>
        <x:v>-10.11283128510679</x:v>
      </x:c>
    </x:row>
    <x:row r="37">
      <x:c r="A37" t="n">
        <x:v>2040</x:v>
      </x:c>
      <x:c r="B37" s="72" t="n">
        <x:f>'Kapacita obce'!P10</x:f>
        <x:v>1.7819694800331645</x:v>
      </x:c>
      <x:c r="C37" s="72" t="n">
        <x:f>'Kapacita obce'!P21</x:f>
        <x:v>-4.767981926752917</x:v>
      </x:c>
      <x:c r="D37" s="72" t="n">
        <x:f>'Kapacita obce'!P32</x:f>
        <x:v>-10.603449899716669</x:v>
      </x:c>
    </x:row>
    <x:row r="38">
      <x:c r="A38" t="n">
        <x:v>2041</x:v>
      </x:c>
      <x:c r="B38" s="72" t="n">
        <x:f>'Kapacita obce'!Q10</x:f>
        <x:v>1.739286926774592</x:v>
      </x:c>
      <x:c r="C38" s="72" t="n">
        <x:f>'Kapacita obce'!Q21</x:f>
        <x:v>-4.963784450541212</x:v>
      </x:c>
      <x:c r="D38" s="72" t="n">
        <x:f>'Kapacita obce'!Q32</x:f>
        <x:v>-11.070637258910946</x:v>
      </x:c>
    </x:row>
    <x:row r="39">
      <x:c r="A39" t="n">
        <x:v>2042</x:v>
      </x:c>
      <x:c r="B39" s="72" t="n">
        <x:f>'Kapacita obce'!R10</x:f>
        <x:v>1.6957507224508506</x:v>
      </x:c>
      <x:c r="C39" s="72" t="n">
        <x:f>'Kapacita obce'!R21</x:f>
        <x:v>-5.165969923984111</x:v>
      </x:c>
      <x:c r="D39" s="72" t="n">
        <x:f>'Kapacita obce'!R32</x:f>
        <x:v>-11.55651211247299</x:v>
      </x:c>
    </x:row>
    <x:row r="40">
      <x:c r="A40" t="n">
        <x:v>2043</x:v>
      </x:c>
      <x:c r="B40" s="72" t="n">
        <x:f>'Kapacita obce'!S10</x:f>
        <x:v>1.6513437940406304</x:v>
      </x:c>
      <x:c r="C40" s="72" t="n">
        <x:f>'Kapacita obce'!S21</x:f>
        <x:v>-5.374737468680369</x:v>
      </x:c>
      <x:c r="D40" s="72" t="n">
        <x:f>'Kapacita obce'!S32</x:f>
        <x:v>-12.061821960177518</x:v>
      </x:c>
    </x:row>
  </x:sheetData>
  <x:mergeCells>
    <x:mergeCell ref="A1:H1"/>
    <x:mergeCell ref="A17:H17"/>
    <x:mergeCell ref="F3:H14"/>
  </x:mergeCells>
  <x:conditionalFormatting sqref="B19:D22">
    <x:cfRule type="expression" dxfId="6" priority="1">
      <x:formula>B19&lt;0</x:formula>
    </x:cfRule>
  </x:conditionalFormatting>
  <x:conditionalFormatting sqref="B26:D40">
    <x:cfRule type="expression" dxfId="7" priority="2">
      <x:formula>B26&lt;0</x:formula>
    </x:cfRule>
  </x:conditionalFormatting>
  <x:pageMargins left="0.7" right="0.7" top="0.75" bottom="0.75" header="0.3" footer="0.3"/>
  <x:drawing xmlns:r="http://schemas.openxmlformats.org/officeDocument/2006/relationships" r:id="Ra20994fe750945a0"/>
</x:worksheet>
</file>

<file path=xl/worksheets/sheet9.xml><?xml version="1.0" encoding="utf-8"?>
<x:worksheet xmlns:x="http://schemas.openxmlformats.org/spreadsheetml/2006/main">
  <x:sheetFormatPr defaultRowHeight="15"/>
  <x:cols>
    <x:col min="1" max="1" width="5" hidden="0" customWidth="1"/>
    <x:col min="2" max="2" width="47" hidden="0" customWidth="1"/>
    <x:col min="3" max="3" width="36" hidden="0" customWidth="1"/>
    <x:col min="4" max="4" width="42" hidden="0" customWidth="1"/>
    <x:col min="5" max="5" width="48" hidden="0" customWidth="1"/>
    <x:col min="6" max="6" width="36" hidden="0" customWidth="1"/>
  </x:cols>
  <x:sheetData>
    <x:row r="1" ht="28" customHeight="1">
      <x:c r="A1" s="26" t="str">
        <x:v>Otázky k financování II. stupně ZŠ – podklad pro zastupitelstvo</x:v>
      </x:c>
      <x:c r="B1" s="26"/>
      <x:c r="C1" s="26"/>
      <x:c r="D1" s="26"/>
      <x:c r="E1" s="26"/>
      <x:c r="F1" s="26"/>
    </x:row>
    <x:row r="3">
      <x:c r="A3" s="206" t="str">
        <x:v>Doprovodný text k rozeslání:
Vážení kolegové, k bodu přístavby II. stupně ZŠ posílám jednoduchý dlouhodobý model ve třech scénářích. Nejde o alternativní rozpočet obce – na řadě míst chybějí skutečné vstupy, které by podle mého názoru měl obsahovat podklad vedení obce. Právě proto jsou neznámé položky v modelu označené jako modelové. Rozdíl mezi scénáři je v desítkách až více než sto milionů korun a zásadně mění, kolik obci v dalších letech zbude na jiné investice. Na zastupitelstvu bych proto chtěl získat odpovědi na následující otázky.</x:v>
      </x:c>
      <x:c r="B3" s="206"/>
      <x:c r="C3" s="206"/>
      <x:c r="D3" s="206"/>
      <x:c r="E3" s="206"/>
      <x:c r="F3" s="206"/>
    </x:row>
    <x:row r="4">
      <x:c r="A4" s="206"/>
      <x:c r="B4" s="206"/>
      <x:c r="C4" s="206"/>
      <x:c r="D4" s="206"/>
      <x:c r="E4" s="206"/>
      <x:c r="F4" s="206"/>
    </x:row>
    <x:row r="5">
      <x:c r="A5" s="206"/>
      <x:c r="B5" s="206"/>
      <x:c r="C5" s="206"/>
      <x:c r="D5" s="206"/>
      <x:c r="E5" s="206"/>
      <x:c r="F5" s="206"/>
    </x:row>
    <x:row r="6">
      <x:c r="A6" s="206"/>
      <x:c r="B6" s="206"/>
      <x:c r="C6" s="206"/>
      <x:c r="D6" s="206"/>
      <x:c r="E6" s="206"/>
      <x:c r="F6" s="206"/>
    </x:row>
    <x:row r="8">
      <x:c r="A8" s="29" t="str">
        <x:v>#</x:v>
      </x:c>
      <x:c r="B8" s="29" t="str">
        <x:v>Otázka</x:v>
      </x:c>
      <x:c r="C8" s="29" t="str">
        <x:v>Proč je důležitá</x:v>
      </x:c>
      <x:c r="D8" s="29" t="str">
        <x:v>Co by měl podklad obsahovat</x:v>
      </x:c>
      <x:c r="E8" s="29" t="str">
        <x:v>Zdroj / opora</x:v>
      </x:c>
      <x:c r="F8" s="29" t="str">
        <x:v>Poznámka</x:v>
      </x:c>
    </x:row>
    <x:row r="9">
      <x:c r="A9" s="239" t="n">
        <x:v>1</x:v>
      </x:c>
      <x:c r="B9" s="239" t="str">
        <x:v>Jaký je skutečný platební kalendář zhotoviteli po jednotlivých letech 2026–2028?</x:v>
      </x:c>
      <x:c r="C9" s="239" t="str">
        <x:v>Bez něj nelze řídit cash-flow ani určit okamžik a výši čerpání úvěru.</x:v>
      </x:c>
      <x:c r="D9" s="239" t="str">
        <x:v>Smlouva / harmonogram fakturace a milníků.</x:v>
      </x:c>
      <x:c r="E9" s="239" t="str">
        <x:v>Podklad obce uvádí pouze celkovou cenu 145,2 mil. Kč.</x:v>
      </x:c>
      <x:c r="F9" s="239" t="str">
        <x:v>Model dnes používá DEMO 50/60/35,2 mil. před scénářovou rezervou.</x:v>
      </x:c>
    </x:row>
    <x:row r="10">
      <x:c r="A10" s="239" t="n">
        <x:v>2</x:v>
      </x:c>
      <x:c r="B10" s="239" t="str">
        <x:v>Jaká je reálně očekávaná výše dotací, termíny rozhodnutí a podmínky jejich čerpání?</x:v>
      </x:c>
      <x:c r="C10" s="239" t="str">
        <x:v>Rozdíl 30 mil. Kč dotace mění výši úvěru a úroků o desítky milionů.</x:v>
      </x:c>
      <x:c r="D10" s="239" t="str">
        <x:v>Best/base/worst dotační scénář včetně termínů a pravděpodobnosti.</x:v>
      </x:c>
      <x:c r="E10" s="239" t="str">
        <x:v>Podklad obce: 10 mil. kraj + 20 mil. MMR.</x:v>
      </x:c>
      <x:c r="F10" s="239" t="str">
        <x:v>V modelu BEST = 30 mil., NORMAL/WORST = 0.</x:v>
      </x:c>
    </x:row>
    <x:row r="11">
      <x:c r="A11" s="239" t="n">
        <x:v>3</x:v>
      </x:c>
      <x:c r="B11" s="239" t="str">
        <x:v>Jaký úvěr obec očekává – jistina, sazba, fixace, splatnost, roční splátka a celkové úroky?</x:v>
      </x:c>
      <x:c r="C11" s="239" t="str">
        <x:v>Podklad zatím neukazuje dlouhodobou dluhovou službu.</x:v>
      </x:c>
      <x:c r="D11" s="239" t="str">
        <x:v>Konkrétní bankovní nabídka + splátkový kalendář + celkové úroky.</x:v>
      </x:c>
      <x:c r="E11" s="239" t="str">
        <x:v>Podklad obce: „návrh úvěrového rámce dodáme“.</x:v>
      </x:c>
      <x:c r="F11" s="239" t="str">
        <x:v>Model používá 15 let a 5/6/7 % pouze pro citlivost.</x:v>
      </x:c>
    </x:row>
    <x:row r="12">
      <x:c r="A12" s="239" t="n">
        <x:v>4</x:v>
      </x:c>
      <x:c r="B12" s="239" t="str">
        <x:v>Jaké jsou úplné provozní náklady nové budovy?</x:v>
      </x:c>
      <x:c r="C12" s="239" t="str">
        <x:v>Energie jsou jen část provozu; chybí servis, revize, údržba a obnova technologií.</x:v>
      </x:c>
      <x:c r="D12" s="239" t="str">
        <x:v>Energie, mzdy NPG, servis VZT/IT/MaR/ZTI, revize, pojištění, údržba, opravy a plán obnovy.</x:v>
      </x:c>
      <x:c r="E12" s="239" t="str">
        <x:v>ČKAIT: údržba a opravy obvykle cca 1 % pořizovací ceny budovy ročně.</x:v>
      </x:c>
      <x:c r="F12" s="239" t="str">
        <x:v>https://profesis.ckait.cz/dokumenty-ckait/ps-10-6/</x:v>
      </x:c>
    </x:row>
    <x:row r="13">
      <x:c r="A13" s="239" t="n">
        <x:v>5</x:v>
      </x:c>
      <x:c r="B13" s="239" t="str">
        <x:v>Kolik nepedagogických pracovníků bude skutečně potřeba a proč se od původního tvrzení mění personální potřeba?</x:v>
      </x:c>
      <x:c r="C13" s="239" t="str">
        <x:v>Každý trvalý pracovní úvazek zvyšuje mandatorní provozní náklady.</x:v>
      </x:c>
      <x:c r="D13" s="239" t="str">
        <x:v>Personální plán a náklad zaměstnavatele po jednotlivých profesích.</x:v>
      </x:c>
      <x:c r="E13" s="239" t="str">
        <x:v>Podklad obce uvádí 1–2 uklízečky + 1 kuchařku, max. cca 1,08 mil. Kč.</x:v>
      </x:c>
      <x:c r="F13" s="239" t="str"/>
    </x:row>
    <x:row r="14">
      <x:c r="A14" s="239" t="n">
        <x:v>6</x:v>
      </x:c>
      <x:c r="B14" s="239" t="str">
        <x:v>Jaký počet žáků a jaký příjem z RUD obec skutečně očekává v jednotlivých letech?</x:v>
      </x:c>
      <x:c r="C14" s="239" t="str">
        <x:v>Kapacita 150 míst není totéž co 150 skutečných žáků.</x:v>
      </x:c>
      <x:c r="D14" s="239" t="str">
        <x:v>Náběh ročníků, návštěvnost, demografická prognóza a metodika přepočtených žáků.</x:v>
      </x:c>
      <x:c r="E14" s="239" t="str">
        <x:v>Demografická studie: současná návštěvnost cca 75 %, 1. třída 69 %; MF 2026: cca 36,786 tis. Kč / přepočtený žák.</x:v>
      </x:c>
      <x:c r="F14" s="239" t="str">
        <x:v>https://www.libis.cz/data/files/vs-demograficka-studie-libis-28-2-25.pdf</x:v>
      </x:c>
    </x:row>
    <x:row r="15">
      <x:c r="A15" s="239" t="n">
        <x:v>7</x:v>
      </x:c>
      <x:c r="B15" s="239" t="str">
        <x:v>Kdy a v jaké výši skutečně vznikne úspora plateb Neratovicím?</x:v>
      </x:c>
      <x:c r="C15" s="239" t="str">
        <x:v>Úspora nevzniká při zahájení stavby, ale až s postupným přesunem skutečných žáků.</x:v>
      </x:c>
      <x:c r="D15" s="239" t="str">
        <x:v>Roční model podle náběhu 6.–9. ročníku.</x:v>
      </x:c>
      <x:c r="E15" s="239" t="str">
        <x:v>Podklad obce: 2026 67 žáků × 8 tis. = 536 tis. Kč.</x:v>
      </x:c>
      <x:c r="F15" s="239" t="str"/>
    </x:row>
    <x:row r="16">
      <x:c r="A16" s="239" t="n">
        <x:v>8</x:v>
      </x:c>
      <x:c r="B16" s="239" t="str">
        <x:v>Kolik obci po škole každý rok zbude na jiné investice?</x:v>
      </x:c>
      <x:c r="C16" s="239" t="str">
        <x:v>To je klíčová informace pro rozhodnutí o dlouhodobé udržitelnosti projektu.</x:v>
      </x:c>
      <x:c r="D16" s="239" t="str">
        <x:v>Souhrnný cash-flow obce: škola + úvěr + provoz + technické služby + hřiště + další závazky.</x:v>
      </x:c>
      <x:c r="E16" s="239" t="str">
        <x:v>Podklad obce uvádí investiční prostor 2027 6,94 mil. a 2028 7,744 mil. Kč.</x:v>
      </x:c>
      <x:c r="F16" s="239" t="str">
        <x:v>Tento model počítá strukturálně s cca 7 mil. Kč/rok.</x:v>
      </x:c>
    </x:row>
    <x:row r="17">
      <x:c r="A17" s="239" t="n">
        <x:v>9</x:v>
      </x:c>
      <x:c r="B17" s="239" t="str">
        <x:v>Jaké trvalé zvýšení příjmů nebo snížení běžných výdajů bude nutné, aby obec nezastavila další rozvoj?</x:v>
      </x:c>
      <x:c r="C17" s="239" t="str">
        <x:v>V NORMAL/WORST může škola sama spotřebovat více než dnešní roční investiční kapacitu.</x:v>
      </x:c>
      <x:c r="D17" s="239" t="str">
        <x:v>Vyčíslení potřebné strukturální úspory / příjmu po jednotlivých letech.</x:v>
      </x:c>
      <x:c r="E17" s="239" t="str">
        <x:v>Výpočet v listu „Kapacita obce“.</x:v>
      </x:c>
      <x:c r="F17" s="239" t="str">
        <x:v>Model ukazuje také variantu +3 mil. Kč ročně.</x:v>
      </x:c>
    </x:row>
    <x:row r="18">
      <x:c r="A18" s="265" t="n">
        <x:v>10</x:v>
      </x:c>
      <x:c r="B18" s="265" t="str">
        <x:v>Kde je aktuální střednědobý výhled rozpočtu obce a kdy bude aktualizován o školu, úvěr a další dlouhodobé záměry?</x:v>
      </x:c>
      <x:c r="C18" s="265" t="str">
        <x:v>Zákon vyžaduje finanční zdroje a potřeby dlouhodobých záměrů a dopady dlouhodobých závazků po celou dobu jejich trvání.</x:v>
      </x:c>
      <x:c r="D18" s="265" t="str">
        <x:v>Aktualizovaný střednědobý výhled a návazný dlouhodobý přehled závazků.</x:v>
      </x:c>
      <x:c r="E18" s="265" t="str">
        <x:v>§ 3 zákona č. 250/2000 Sb.</x:v>
      </x:c>
      <x:c r="F18" s="265" t="str">
        <x:v>https://www.zakonyprolidi.cz/cs/2000-250</x:v>
      </x:c>
    </x:row>
  </x:sheetData>
  <x:mergeCells>
    <x:mergeCell ref="A1:F1"/>
    <x:mergeCell ref="A3:F6"/>
  </x:mergeCells>
  <x:pageMargins left="0.7" right="0.7" top="0.75" bottom="0.75" header="0.3" footer="0.3"/>
</x:worksheet>
</file>

<file path=xl/worksheets/sheet10.xml><?xml version="1.0" encoding="utf-8"?>
<x:worksheet xmlns:x="http://schemas.openxmlformats.org/spreadsheetml/2006/main">
  <x:sheetFormatPr defaultRowHeight="15"/>
  <x:cols>
    <x:col min="1" max="1" width="6" hidden="0" customWidth="1"/>
    <x:col min="2" max="2" width="38" hidden="0" customWidth="1"/>
    <x:col min="3" max="3" width="74" hidden="0" customWidth="1"/>
    <x:col min="4" max="4" width="30" hidden="0" customWidth="1"/>
    <x:col min="5" max="5" width="62" hidden="0" customWidth="1"/>
  </x:cols>
  <x:sheetData>
    <x:row r="1" ht="28" customHeight="1">
      <x:c r="A1" s="26" t="str">
        <x:v>Zdroje a míra jistoty vstupů</x:v>
      </x:c>
      <x:c r="B1" s="26"/>
      <x:c r="C1" s="26"/>
      <x:c r="D1" s="26"/>
      <x:c r="E1" s="26"/>
    </x:row>
    <x:row r="3">
      <x:c r="A3" s="29" t="str">
        <x:v>ID</x:v>
      </x:c>
      <x:c r="B3" s="29" t="str">
        <x:v>Zdroj</x:v>
      </x:c>
      <x:c r="C3" s="29" t="str">
        <x:v>Co z něj model používá</x:v>
      </x:c>
      <x:c r="D3" s="29" t="str">
        <x:v>Typ / jistota</x:v>
      </x:c>
      <x:c r="E3" s="29" t="str">
        <x:v>URL / dokument</x:v>
      </x:c>
    </x:row>
    <x:row r="4">
      <x:c r="A4" s="239" t="str">
        <x:v>S1</x:v>
      </x:c>
      <x:c r="B4" s="239" t="str">
        <x:v>Podklad obce: Finanční rozvaha přístavby II. stupně ZŠ Libiš</x:v>
      </x:c>
      <x:c r="C4" s="239" t="str">
        <x:v>145,2 mil. cena díla; vlastní zdroje 85,1 mil.; dotace 10+20 mil.; úvěr cca 30/60 mil.; 1 mil. NPG; provoz do 3 mil.; vybavení 2–4 mil.; 536 tis. Neratovice; obec pro jednoduchý RUD model používá cca 20 tis./žák.</x:v>
      </x:c>
      <x:c r="D4" s="239" t="str">
        <x:v>Dodaný oficiální podklad pro ZO</x:v>
      </x:c>
      <x:c r="E4" s="239" t="str">
        <x:v>finanční rozvaha přístavby II. stupně ZŠ Libiš.xlsx</x:v>
      </x:c>
    </x:row>
    <x:row r="5">
      <x:c r="A5" s="239" t="str">
        <x:v>S2</x:v>
      </x:c>
      <x:c r="B5" s="239" t="str">
        <x:v>Sociodemografická studie Libiš, Výzkumy Soukup, únor 2025</x:v>
      </x:c>
      <x:c r="C5" s="239" t="str">
        <x:v>cca 150 dětí 11–14 let kolem 2030; cca 120 v roce 2040; nynější index návštěvnosti 75 % na 1. stupni a 69 % v 1. třídě; po otevření II. stupně může růst, studie neví o kolik.</x:v>
      </x:c>
      <x:c r="D5" s="239" t="str">
        <x:v>Oficiální studie obce</x:v>
      </x:c>
      <x:c r="E5" s="239" t="str">
        <x:v>https://www.libis.cz/data/files/vs-demograficka-studie-libis-28-2-25.pdf</x:v>
      </x:c>
    </x:row>
    <x:row r="6">
      <x:c r="A6" s="239" t="str">
        <x:v>S3</x:v>
      </x:c>
      <x:c r="B6" s="239" t="str">
        <x:v>Ministerstvo financí – financování MŠ/ZŠ v RUD 2026</x:v>
      </x:c>
      <x:c r="C6" s="239" t="str">
        <x:v>Předběžně cca 36,786 tis. Kč na jednoho přepočteného žáka; nejde o účelovou dotaci a údaj je předběžný. Model používá nižších 20 tis. podle podkladu obce.</x:v>
      </x:c>
      <x:c r="D6" s="239" t="str">
        <x:v>Oficiální státní zdroj</x:v>
      </x:c>
      <x:c r="E6" s="239" t="str">
        <x:v>https://mf.gov.cz/cs/rozpoctova-politika/uzemni-rozpocty/hospodareni-uzemnich-rozpoctu/financovani-materskych-a-zakladnich-skol/2026/informace-o-vysi-prostredku-ktere-obce-a-kraje-zis-62870</x:v>
      </x:c>
    </x:row>
    <x:row r="7">
      <x:c r="A7" s="239" t="str">
        <x:v>S4</x:v>
      </x:c>
      <x:c r="B7" s="239" t="str">
        <x:v>ČKAIT / PROFESIS – stavební a technická údržba staveb</x:v>
      </x:c>
      <x:c r="C7" s="239" t="str">
        <x:v>Náklady na údržbu a opravy obvykle cca 1 % pořizovací ceny budovy ročně. NORMAL používá 1 %, BEST 0,7 %, WORST 1,5 % jako citlivostní rozsah.</x:v>
      </x:c>
      <x:c r="D7" s="239" t="str">
        <x:v>Odborný benchmark</x:v>
      </x:c>
      <x:c r="E7" s="239" t="str">
        <x:v>https://profesis.ckait.cz/dokumenty-ckait/ps-10-6/</x:v>
      </x:c>
    </x:row>
    <x:row r="8">
      <x:c r="A8" s="239" t="str">
        <x:v>S5</x:v>
      </x:c>
      <x:c r="B8" s="239" t="str">
        <x:v>Zákon č. 250/2000 Sb., § 3</x:v>
      </x:c>
      <x:c r="C8" s="239" t="str">
        <x:v>Střednědobý výhled obsahuje finanční zdroje a potřeby dlouhodobě realizovaných záměrů; u dlouhodobých závazků se uvádějí dopady po celou dobu jejich trvání.</x:v>
      </x:c>
      <x:c r="D8" s="239" t="str">
        <x:v>Právní rámec</x:v>
      </x:c>
      <x:c r="E8" s="239" t="str">
        <x:v>https://www.zakonyprolidi.cz/cs/2000-250</x:v>
      </x:c>
    </x:row>
    <x:row r="9">
      <x:c r="A9" s="239" t="str">
        <x:v>S6</x:v>
      </x:c>
      <x:c r="B9" s="239" t="str">
        <x:v>Žádost TJ Sokol – podklad pro ZO 16. 9. 2026</x:v>
      </x:c>
      <x:c r="C9" s="239" t="str">
        <x:v>Předpokládaná spoluúčast obce 1,75 mil. Kč při celkovém nákladu 8,75 mil. Kč a 20% spoluúčasti.</x:v>
      </x:c>
      <x:c r="D9" s="239" t="str">
        <x:v>Dodaný oficiální podklad pro ZO</x:v>
      </x:c>
      <x:c r="E9" s="239" t="str">
        <x:v>žádost o schválení financování spoluúčasti ... hřiště.docx</x:v>
      </x:c>
    </x:row>
    <x:row r="10">
      <x:c r="A10" s="239" t="str">
        <x:v>S7</x:v>
      </x:c>
      <x:c r="B10" s="239" t="str">
        <x:v>Usnesení / poznámky z rady – správa sociálních sítí a Securitas</x:v>
      </x:c>
      <x:c r="C10" s="239" t="str">
        <x:v>SNS 216 tis. Kč/rok; Securitas max. 70 h × 600 Kč = 42 tis./měs., tj. max. 504 tis./rok. Model používá dohromady 0,72 mil./rok.</x:v>
      </x:c>
      <x:c r="D10" s="239" t="str">
        <x:v>Část doložena fotografiemi usnesení, Securitas dle poznámek – před rozesláním ověřit</x:v>
      </x:c>
      <x:c r="E10" s="239" t="str">
        <x:v>zápisy rady / poznámky</x:v>
      </x:c>
    </x:row>
    <x:row r="11">
      <x:c r="A11" s="265" t="str">
        <x:v>S8</x:v>
      </x:c>
      <x:c r="B11" s="265" t="str">
        <x:v>Technické služby – pracovní vstup 15 mil. Kč</x:v>
      </x:c>
      <x:c r="C11" s="265" t="str">
        <x:v>Použito pouze v listu Kapacita obce; časování 7,5 + 7,5 mil. v 2027–2028 je čistě modelové.</x:v>
      </x:c>
      <x:c r="D11" s="265" t="str">
        <x:v>Pracovní vstup – nutno doložit rozpočtem a harmonogramem</x:v>
      </x:c>
      <x:c r="E11" s="265" t="str">
        <x:v>pracovní informace zastupitele</x:v>
      </x:c>
    </x:row>
  </x:sheetData>
  <x:mergeCells>
    <x:mergeCell ref="A1:E1"/>
  </x:mergeCells>
  <x:pageMargins left="0.7" right="0.7" top="0.75" bottom="0.75" header="0.3" footer="0.3"/>
</x:worksheet>
</file>